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 tabRatio="681"/>
  </bookViews>
  <sheets>
    <sheet name="דוח רווח והפסד - תקציב 2017" sheetId="12" r:id="rId1"/>
    <sheet name="דוח מסכם - תקציב 2017" sheetId="1" r:id="rId2"/>
    <sheet name="קאנטרי קלאב" sheetId="2" r:id="rId3"/>
    <sheet name="בריכה עפולה עילית" sheetId="5" r:id="rId4"/>
    <sheet name="מזנון בריכה קאנטרי קלאב" sheetId="8" r:id="rId5"/>
    <sheet name="מזנון בריכה עפולה עילית " sheetId="7" r:id="rId6"/>
    <sheet name="הכנסות מדמי שכירות" sheetId="9" r:id="rId7"/>
    <sheet name="חממה טכנולוגית- מרכז חדשנות" sheetId="11" r:id="rId8"/>
    <sheet name="הנהלה וכלליות" sheetId="6" r:id="rId9"/>
    <sheet name="העסקת עובדי עירייה" sheetId="10" r:id="rId10"/>
    <sheet name="שכר עבודה" sheetId="3" r:id="rId11"/>
    <sheet name="פרויקטים - תב&quot;רים" sheetId="4" r:id="rId12"/>
  </sheets>
  <definedNames>
    <definedName name="_xlnm.Print_Area" localSheetId="3">'בריכה עפולה עילית'!$A$1:$P$32</definedName>
    <definedName name="_xlnm.Print_Area" localSheetId="6">'הכנסות מדמי שכירות'!$A$1:$P$91</definedName>
    <definedName name="_xlnm.Print_Area" localSheetId="8">'הנהלה וכלליות'!$A$1:$P$22</definedName>
    <definedName name="_xlnm.Print_Area" localSheetId="9">'העסקת עובדי עירייה'!$A$1:$P$25</definedName>
    <definedName name="_xlnm.Print_Area" localSheetId="7">'חממה טכנולוגית- מרכז חדשנות'!$A$1:$P$30</definedName>
    <definedName name="_xlnm.Print_Area" localSheetId="5">'מזנון בריכה עפולה עילית '!$A$1:$P$15</definedName>
    <definedName name="_xlnm.Print_Area" localSheetId="4">'מזנון בריכה קאנטרי קלאב'!$A$1:$P$14</definedName>
    <definedName name="_xlnm.Print_Area" localSheetId="2">'קאנטרי קלאב'!$A$1:$P$38</definedName>
  </definedNames>
  <calcPr calcId="152511"/>
</workbook>
</file>

<file path=xl/calcChain.xml><?xml version="1.0" encoding="utf-8"?>
<calcChain xmlns="http://schemas.openxmlformats.org/spreadsheetml/2006/main">
  <c r="I27" i="1" l="1"/>
  <c r="J27" i="1" s="1"/>
  <c r="H27" i="1"/>
  <c r="F27" i="1"/>
  <c r="E27" i="1"/>
  <c r="G27" i="1"/>
  <c r="D27" i="1"/>
  <c r="C27" i="1"/>
  <c r="B27" i="1"/>
  <c r="H21" i="6"/>
  <c r="I22" i="6"/>
  <c r="G21" i="6" l="1"/>
  <c r="F20" i="12"/>
  <c r="F19" i="12"/>
  <c r="E20" i="12"/>
  <c r="E19" i="12"/>
  <c r="F21" i="12"/>
  <c r="N21" i="6"/>
  <c r="H3" i="6"/>
  <c r="G3" i="6"/>
  <c r="E21" i="12" l="1"/>
  <c r="B21" i="6" l="1"/>
  <c r="C21" i="6"/>
  <c r="D21" i="6"/>
  <c r="E21" i="6"/>
  <c r="F21" i="6"/>
  <c r="F3" i="10" l="1"/>
  <c r="H3" i="10"/>
  <c r="I3" i="10"/>
  <c r="J3" i="10"/>
  <c r="K3" i="10"/>
  <c r="L3" i="10"/>
  <c r="M3" i="10"/>
  <c r="G3" i="10"/>
  <c r="B4" i="10"/>
  <c r="C4" i="10"/>
  <c r="D4" i="10"/>
  <c r="E4" i="10"/>
  <c r="G4" i="10"/>
  <c r="H4" i="10"/>
  <c r="I4" i="10"/>
  <c r="J4" i="10"/>
  <c r="K4" i="10"/>
  <c r="L4" i="10"/>
  <c r="M4" i="10"/>
  <c r="F4" i="10"/>
  <c r="B7" i="10"/>
  <c r="C7" i="10"/>
  <c r="D7" i="10"/>
  <c r="E7" i="10"/>
  <c r="G7" i="10"/>
  <c r="H7" i="10"/>
  <c r="I7" i="10"/>
  <c r="J7" i="10"/>
  <c r="K7" i="10"/>
  <c r="L7" i="10"/>
  <c r="M7" i="10"/>
  <c r="F7" i="10"/>
  <c r="G8" i="10"/>
  <c r="H8" i="10"/>
  <c r="I8" i="10"/>
  <c r="J8" i="10"/>
  <c r="K8" i="10"/>
  <c r="L8" i="10"/>
  <c r="M8" i="10"/>
  <c r="B8" i="10"/>
  <c r="C8" i="10"/>
  <c r="D8" i="10"/>
  <c r="E8" i="10"/>
  <c r="F8" i="10"/>
  <c r="P15" i="7"/>
  <c r="I21" i="6"/>
  <c r="J21" i="6"/>
  <c r="K21" i="6"/>
  <c r="L21" i="6"/>
  <c r="M21" i="6"/>
  <c r="O19" i="10" l="1"/>
  <c r="O18" i="10"/>
  <c r="O15" i="10"/>
  <c r="O10" i="7"/>
  <c r="O9" i="8"/>
  <c r="O14" i="10"/>
  <c r="O3" i="6"/>
  <c r="O15" i="2"/>
  <c r="C3" i="2"/>
  <c r="D3" i="2"/>
  <c r="E3" i="2"/>
  <c r="F3" i="2"/>
  <c r="G3" i="2"/>
  <c r="H3" i="2"/>
  <c r="I3" i="2"/>
  <c r="J3" i="2"/>
  <c r="K3" i="2"/>
  <c r="L3" i="2"/>
  <c r="M3" i="2"/>
  <c r="B3" i="2"/>
  <c r="C34" i="2" l="1"/>
  <c r="D34" i="2"/>
  <c r="E34" i="2"/>
  <c r="F34" i="2"/>
  <c r="G34" i="2"/>
  <c r="H34" i="2"/>
  <c r="I34" i="2"/>
  <c r="J34" i="2"/>
  <c r="K34" i="2"/>
  <c r="L34" i="2"/>
  <c r="M34" i="2"/>
  <c r="B34" i="2"/>
  <c r="G23" i="1"/>
  <c r="J23" i="1" s="1"/>
  <c r="J22" i="1"/>
  <c r="D23" i="1"/>
  <c r="H22" i="1"/>
  <c r="I22" i="1"/>
  <c r="H23" i="1"/>
  <c r="I23" i="1"/>
  <c r="E12" i="12"/>
  <c r="E16" i="12" s="1"/>
  <c r="I20" i="1"/>
  <c r="I17" i="1"/>
  <c r="I16" i="1"/>
  <c r="I15" i="1"/>
  <c r="I14" i="1"/>
  <c r="H21" i="1"/>
  <c r="H20" i="1"/>
  <c r="H17" i="1"/>
  <c r="H16" i="1"/>
  <c r="H15" i="1"/>
  <c r="H14" i="1"/>
  <c r="F18" i="1"/>
  <c r="F13" i="1"/>
  <c r="F12" i="1"/>
  <c r="F10" i="1"/>
  <c r="F8" i="1"/>
  <c r="E19" i="1"/>
  <c r="E18" i="1"/>
  <c r="E13" i="1"/>
  <c r="E12" i="1"/>
  <c r="E10" i="1"/>
  <c r="E9" i="1"/>
  <c r="E8" i="1"/>
  <c r="E7" i="1"/>
  <c r="N13" i="5"/>
  <c r="E31" i="2"/>
  <c r="U17" i="2"/>
  <c r="C23" i="2"/>
  <c r="D23" i="2"/>
  <c r="E23" i="2"/>
  <c r="F23" i="2"/>
  <c r="G23" i="2"/>
  <c r="H23" i="2"/>
  <c r="I23" i="2"/>
  <c r="J23" i="2"/>
  <c r="K23" i="2"/>
  <c r="L23" i="2"/>
  <c r="M23" i="2"/>
  <c r="B23" i="2"/>
  <c r="P16" i="10"/>
  <c r="P17" i="10"/>
  <c r="P18" i="10"/>
  <c r="P20" i="10"/>
  <c r="P21" i="10"/>
  <c r="P22" i="10"/>
  <c r="P5" i="10"/>
  <c r="P6" i="10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3" i="6"/>
  <c r="P5" i="11"/>
  <c r="P6" i="11"/>
  <c r="P15" i="9"/>
  <c r="P16" i="9"/>
  <c r="P18" i="9"/>
  <c r="P13" i="9"/>
  <c r="P4" i="9"/>
  <c r="P3" i="9"/>
  <c r="P11" i="7"/>
  <c r="P13" i="7" s="1"/>
  <c r="P12" i="7"/>
  <c r="P10" i="7"/>
  <c r="P4" i="7"/>
  <c r="P5" i="7" s="1"/>
  <c r="P3" i="7"/>
  <c r="P11" i="8"/>
  <c r="P9" i="8"/>
  <c r="P15" i="5"/>
  <c r="P16" i="5"/>
  <c r="P17" i="5"/>
  <c r="P18" i="5"/>
  <c r="P19" i="5"/>
  <c r="P20" i="5"/>
  <c r="P21" i="5"/>
  <c r="P22" i="5"/>
  <c r="P23" i="5"/>
  <c r="P25" i="5"/>
  <c r="P26" i="5"/>
  <c r="P27" i="5"/>
  <c r="P28" i="5"/>
  <c r="P29" i="5"/>
  <c r="P13" i="5"/>
  <c r="P5" i="5"/>
  <c r="P6" i="5"/>
  <c r="P3" i="5"/>
  <c r="P20" i="2"/>
  <c r="P21" i="2"/>
  <c r="P22" i="2"/>
  <c r="P24" i="2"/>
  <c r="P25" i="2"/>
  <c r="P26" i="2"/>
  <c r="P27" i="2"/>
  <c r="P30" i="2"/>
  <c r="P32" i="2"/>
  <c r="P33" i="2"/>
  <c r="P6" i="2"/>
  <c r="P7" i="2"/>
  <c r="P8" i="2"/>
  <c r="P9" i="2"/>
  <c r="N3" i="2"/>
  <c r="P3" i="2" s="1"/>
  <c r="G16" i="12"/>
  <c r="G12" i="12"/>
  <c r="F12" i="12"/>
  <c r="F16" i="12" s="1"/>
  <c r="O36" i="2" l="1"/>
  <c r="F6" i="1" s="1"/>
  <c r="M20" i="2" l="1"/>
  <c r="L20" i="2"/>
  <c r="K20" i="2"/>
  <c r="J20" i="2"/>
  <c r="I20" i="2"/>
  <c r="H20" i="2"/>
  <c r="G20" i="2"/>
  <c r="F20" i="2"/>
  <c r="E20" i="2"/>
  <c r="D20" i="2" l="1"/>
  <c r="C20" i="2"/>
  <c r="B20" i="2"/>
  <c r="N20" i="6" l="1"/>
  <c r="O6" i="6"/>
  <c r="O18" i="6"/>
  <c r="C16" i="6"/>
  <c r="D16" i="6"/>
  <c r="E16" i="6"/>
  <c r="F16" i="6"/>
  <c r="G16" i="6"/>
  <c r="H16" i="6"/>
  <c r="I16" i="6"/>
  <c r="J16" i="6"/>
  <c r="K16" i="6"/>
  <c r="L16" i="6"/>
  <c r="M16" i="6"/>
  <c r="B16" i="6"/>
  <c r="O7" i="6"/>
  <c r="O15" i="6"/>
  <c r="O11" i="6"/>
  <c r="O12" i="11"/>
  <c r="L28" i="11"/>
  <c r="H28" i="11"/>
  <c r="D28" i="11"/>
  <c r="N27" i="11"/>
  <c r="P27" i="11" s="1"/>
  <c r="N26" i="11"/>
  <c r="P26" i="11" s="1"/>
  <c r="N25" i="11"/>
  <c r="P25" i="11" s="1"/>
  <c r="N24" i="11"/>
  <c r="P24" i="11" s="1"/>
  <c r="N23" i="11"/>
  <c r="P23" i="11" s="1"/>
  <c r="N22" i="11"/>
  <c r="P22" i="11" s="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O28" i="11"/>
  <c r="N4" i="11"/>
  <c r="P4" i="11" s="1"/>
  <c r="M3" i="11"/>
  <c r="L3" i="11"/>
  <c r="K3" i="11"/>
  <c r="J3" i="11"/>
  <c r="I3" i="11"/>
  <c r="H3" i="11"/>
  <c r="G3" i="11"/>
  <c r="F3" i="11"/>
  <c r="E3" i="11"/>
  <c r="D3" i="11"/>
  <c r="C3" i="11"/>
  <c r="B3" i="11"/>
  <c r="O7" i="11"/>
  <c r="O24" i="5"/>
  <c r="B23" i="10"/>
  <c r="O17" i="9"/>
  <c r="O15" i="9"/>
  <c r="N27" i="2"/>
  <c r="O26" i="2"/>
  <c r="O25" i="2"/>
  <c r="O19" i="2"/>
  <c r="C33" i="2"/>
  <c r="D33" i="2"/>
  <c r="E33" i="2"/>
  <c r="F33" i="2"/>
  <c r="G33" i="2"/>
  <c r="H33" i="2"/>
  <c r="I33" i="2"/>
  <c r="J33" i="2"/>
  <c r="K33" i="2"/>
  <c r="L33" i="2"/>
  <c r="M33" i="2"/>
  <c r="B33" i="2"/>
  <c r="O13" i="9"/>
  <c r="O3" i="9"/>
  <c r="O10" i="2"/>
  <c r="E6" i="1" s="1"/>
  <c r="O9" i="2"/>
  <c r="C10" i="2"/>
  <c r="D10" i="2"/>
  <c r="E10" i="2"/>
  <c r="F10" i="2"/>
  <c r="G10" i="2"/>
  <c r="H10" i="2"/>
  <c r="I10" i="2"/>
  <c r="J10" i="2"/>
  <c r="K10" i="2"/>
  <c r="L10" i="2"/>
  <c r="M10" i="2"/>
  <c r="B10" i="2"/>
  <c r="N9" i="2"/>
  <c r="N7" i="2"/>
  <c r="G11" i="1" l="1"/>
  <c r="F11" i="1"/>
  <c r="P28" i="11"/>
  <c r="O30" i="11"/>
  <c r="E11" i="1"/>
  <c r="E25" i="1" s="1"/>
  <c r="E28" i="11"/>
  <c r="I28" i="11"/>
  <c r="M28" i="11"/>
  <c r="C7" i="11"/>
  <c r="F7" i="11"/>
  <c r="N3" i="11"/>
  <c r="P3" i="11" s="1"/>
  <c r="P7" i="11" s="1"/>
  <c r="P30" i="11" s="1"/>
  <c r="F28" i="11"/>
  <c r="J28" i="11"/>
  <c r="J7" i="11"/>
  <c r="J30" i="11" s="1"/>
  <c r="C28" i="11"/>
  <c r="G28" i="11"/>
  <c r="K28" i="11"/>
  <c r="D7" i="11"/>
  <c r="D30" i="11" s="1"/>
  <c r="H7" i="11"/>
  <c r="H30" i="11" s="1"/>
  <c r="L7" i="11"/>
  <c r="L30" i="11" s="1"/>
  <c r="E7" i="11"/>
  <c r="I7" i="11"/>
  <c r="M7" i="11"/>
  <c r="M30" i="11" s="1"/>
  <c r="O22" i="2"/>
  <c r="C30" i="11" l="1"/>
  <c r="K7" i="11"/>
  <c r="K30" i="11" s="1"/>
  <c r="G7" i="11"/>
  <c r="G30" i="11" s="1"/>
  <c r="I30" i="11"/>
  <c r="E30" i="11"/>
  <c r="F30" i="11"/>
  <c r="B7" i="11"/>
  <c r="I17" i="2"/>
  <c r="H17" i="2"/>
  <c r="G17" i="2"/>
  <c r="J20" i="1"/>
  <c r="N33" i="2"/>
  <c r="N15" i="2"/>
  <c r="C9" i="6"/>
  <c r="C22" i="6" s="1"/>
  <c r="D9" i="6"/>
  <c r="D22" i="6" s="1"/>
  <c r="E9" i="6"/>
  <c r="F9" i="6"/>
  <c r="F22" i="6" s="1"/>
  <c r="G9" i="6"/>
  <c r="G22" i="6" s="1"/>
  <c r="H9" i="6"/>
  <c r="I9" i="6"/>
  <c r="J9" i="6"/>
  <c r="K9" i="6"/>
  <c r="K22" i="6" s="1"/>
  <c r="L9" i="6"/>
  <c r="L22" i="6" s="1"/>
  <c r="M9" i="6"/>
  <c r="B9" i="6"/>
  <c r="B22" i="6" s="1"/>
  <c r="M22" i="6"/>
  <c r="N8" i="6"/>
  <c r="E22" i="6"/>
  <c r="O22" i="6"/>
  <c r="F21" i="1" s="1"/>
  <c r="L3" i="6"/>
  <c r="M3" i="6"/>
  <c r="K3" i="6"/>
  <c r="I3" i="6"/>
  <c r="J3" i="6"/>
  <c r="U15" i="2" l="1"/>
  <c r="P15" i="2"/>
  <c r="N7" i="11"/>
  <c r="B11" i="1" s="1"/>
  <c r="H11" i="1" s="1"/>
  <c r="B28" i="11"/>
  <c r="B30" i="11" s="1"/>
  <c r="N28" i="11"/>
  <c r="C11" i="1" s="1"/>
  <c r="I11" i="1" s="1"/>
  <c r="J22" i="6"/>
  <c r="H22" i="6"/>
  <c r="G18" i="1"/>
  <c r="C17" i="9"/>
  <c r="D17" i="9"/>
  <c r="E17" i="9"/>
  <c r="F17" i="9"/>
  <c r="G17" i="9"/>
  <c r="H17" i="9"/>
  <c r="I17" i="9"/>
  <c r="J17" i="9"/>
  <c r="K17" i="9"/>
  <c r="L17" i="9"/>
  <c r="M17" i="9"/>
  <c r="B17" i="9"/>
  <c r="N7" i="9"/>
  <c r="G13" i="1"/>
  <c r="G12" i="1"/>
  <c r="G10" i="1"/>
  <c r="B18" i="1" l="1"/>
  <c r="H18" i="1" s="1"/>
  <c r="P7" i="9"/>
  <c r="N30" i="11"/>
  <c r="C3" i="6"/>
  <c r="E18" i="6"/>
  <c r="C15" i="6"/>
  <c r="D15" i="6"/>
  <c r="E15" i="6"/>
  <c r="F15" i="6"/>
  <c r="G15" i="6"/>
  <c r="H15" i="6"/>
  <c r="I15" i="6"/>
  <c r="J15" i="6"/>
  <c r="K15" i="6"/>
  <c r="L15" i="6"/>
  <c r="M15" i="6"/>
  <c r="B15" i="6"/>
  <c r="C11" i="6"/>
  <c r="D11" i="6"/>
  <c r="E11" i="6"/>
  <c r="F11" i="6"/>
  <c r="G11" i="6"/>
  <c r="H11" i="6"/>
  <c r="I11" i="6"/>
  <c r="J11" i="6"/>
  <c r="K11" i="6"/>
  <c r="L11" i="6"/>
  <c r="M11" i="6"/>
  <c r="B11" i="6"/>
  <c r="C14" i="6"/>
  <c r="D14" i="6"/>
  <c r="E14" i="6"/>
  <c r="F14" i="6"/>
  <c r="G14" i="6"/>
  <c r="H14" i="6"/>
  <c r="I14" i="6"/>
  <c r="J14" i="6"/>
  <c r="K14" i="6"/>
  <c r="L14" i="6"/>
  <c r="M14" i="6"/>
  <c r="B14" i="6"/>
  <c r="C13" i="6"/>
  <c r="D13" i="6"/>
  <c r="E13" i="6"/>
  <c r="F13" i="6"/>
  <c r="G13" i="6"/>
  <c r="H13" i="6"/>
  <c r="I13" i="6"/>
  <c r="J13" i="6"/>
  <c r="K13" i="6"/>
  <c r="L13" i="6"/>
  <c r="M13" i="6"/>
  <c r="B13" i="6"/>
  <c r="C4" i="6"/>
  <c r="D4" i="6"/>
  <c r="E4" i="6"/>
  <c r="F4" i="6"/>
  <c r="G4" i="6"/>
  <c r="H4" i="6"/>
  <c r="I4" i="6"/>
  <c r="J4" i="6"/>
  <c r="K4" i="6"/>
  <c r="L4" i="6"/>
  <c r="M4" i="6"/>
  <c r="B4" i="6"/>
  <c r="C12" i="6"/>
  <c r="D12" i="6"/>
  <c r="E12" i="6"/>
  <c r="F12" i="6"/>
  <c r="G12" i="6"/>
  <c r="H12" i="6"/>
  <c r="I12" i="6"/>
  <c r="J12" i="6"/>
  <c r="K12" i="6"/>
  <c r="L12" i="6"/>
  <c r="M12" i="6"/>
  <c r="B12" i="6"/>
  <c r="C9" i="10"/>
  <c r="I9" i="10"/>
  <c r="M9" i="10"/>
  <c r="S8" i="10"/>
  <c r="O7" i="10"/>
  <c r="S7" i="10" s="1"/>
  <c r="O17" i="10"/>
  <c r="O6" i="10"/>
  <c r="S5" i="10"/>
  <c r="S3" i="10"/>
  <c r="E9" i="10"/>
  <c r="J9" i="10"/>
  <c r="M23" i="10"/>
  <c r="L23" i="10"/>
  <c r="K23" i="10"/>
  <c r="J23" i="10"/>
  <c r="I23" i="10"/>
  <c r="H23" i="10"/>
  <c r="G23" i="10"/>
  <c r="F23" i="10"/>
  <c r="E23" i="10"/>
  <c r="N22" i="10"/>
  <c r="N21" i="10"/>
  <c r="N20" i="10"/>
  <c r="N19" i="10"/>
  <c r="P19" i="10" s="1"/>
  <c r="N18" i="10"/>
  <c r="N17" i="10"/>
  <c r="N15" i="10"/>
  <c r="P15" i="10" s="1"/>
  <c r="O8" i="9"/>
  <c r="I9" i="8"/>
  <c r="H9" i="8"/>
  <c r="G9" i="8"/>
  <c r="I10" i="7"/>
  <c r="H10" i="7"/>
  <c r="G10" i="7"/>
  <c r="P21" i="6" l="1"/>
  <c r="P22" i="6" s="1"/>
  <c r="N22" i="6"/>
  <c r="P23" i="10"/>
  <c r="F9" i="10"/>
  <c r="F25" i="10" s="1"/>
  <c r="N7" i="10"/>
  <c r="P7" i="10" s="1"/>
  <c r="N8" i="10"/>
  <c r="P8" i="10" s="1"/>
  <c r="N3" i="10"/>
  <c r="P3" i="10" s="1"/>
  <c r="D23" i="10"/>
  <c r="N14" i="10"/>
  <c r="P14" i="10" s="1"/>
  <c r="C23" i="10"/>
  <c r="S4" i="10"/>
  <c r="S6" i="10"/>
  <c r="O9" i="10"/>
  <c r="O23" i="10"/>
  <c r="F19" i="1" s="1"/>
  <c r="J25" i="10"/>
  <c r="N6" i="10"/>
  <c r="R6" i="10" s="1"/>
  <c r="E25" i="10"/>
  <c r="I25" i="10"/>
  <c r="M25" i="10"/>
  <c r="G9" i="10"/>
  <c r="G25" i="10" s="1"/>
  <c r="K9" i="10"/>
  <c r="K25" i="10" s="1"/>
  <c r="D9" i="10"/>
  <c r="H9" i="10"/>
  <c r="H25" i="10" s="1"/>
  <c r="L9" i="10"/>
  <c r="L25" i="10" s="1"/>
  <c r="C70" i="9"/>
  <c r="D70" i="9"/>
  <c r="E70" i="9"/>
  <c r="F70" i="9"/>
  <c r="G70" i="9"/>
  <c r="H70" i="9"/>
  <c r="I70" i="9"/>
  <c r="J70" i="9"/>
  <c r="K70" i="9"/>
  <c r="L70" i="9"/>
  <c r="M70" i="9"/>
  <c r="B70" i="9"/>
  <c r="C71" i="9"/>
  <c r="D71" i="9"/>
  <c r="E71" i="9"/>
  <c r="F71" i="9"/>
  <c r="G71" i="9"/>
  <c r="H71" i="9"/>
  <c r="I71" i="9"/>
  <c r="J71" i="9"/>
  <c r="K71" i="9"/>
  <c r="L71" i="9"/>
  <c r="M71" i="9"/>
  <c r="B71" i="9"/>
  <c r="C68" i="9"/>
  <c r="D68" i="9"/>
  <c r="E68" i="9"/>
  <c r="F68" i="9"/>
  <c r="G68" i="9"/>
  <c r="H68" i="9"/>
  <c r="I68" i="9"/>
  <c r="J68" i="9"/>
  <c r="K68" i="9"/>
  <c r="L68" i="9"/>
  <c r="M68" i="9"/>
  <c r="B68" i="9"/>
  <c r="C69" i="9"/>
  <c r="D69" i="9"/>
  <c r="E69" i="9"/>
  <c r="F69" i="9"/>
  <c r="G69" i="9"/>
  <c r="H69" i="9"/>
  <c r="I69" i="9"/>
  <c r="J69" i="9"/>
  <c r="K69" i="9"/>
  <c r="L69" i="9"/>
  <c r="M69" i="9"/>
  <c r="B69" i="9"/>
  <c r="C72" i="9"/>
  <c r="D72" i="9"/>
  <c r="E72" i="9"/>
  <c r="F72" i="9"/>
  <c r="G72" i="9"/>
  <c r="H72" i="9"/>
  <c r="I72" i="9"/>
  <c r="J72" i="9"/>
  <c r="K72" i="9"/>
  <c r="L72" i="9"/>
  <c r="M72" i="9"/>
  <c r="B72" i="9"/>
  <c r="C67" i="9"/>
  <c r="D67" i="9"/>
  <c r="E67" i="9"/>
  <c r="F67" i="9"/>
  <c r="G67" i="9"/>
  <c r="H67" i="9"/>
  <c r="I67" i="9"/>
  <c r="J67" i="9"/>
  <c r="K67" i="9"/>
  <c r="L67" i="9"/>
  <c r="M67" i="9"/>
  <c r="B67" i="9"/>
  <c r="N55" i="9"/>
  <c r="N56" i="9"/>
  <c r="N57" i="9"/>
  <c r="N59" i="9"/>
  <c r="C66" i="9"/>
  <c r="D66" i="9"/>
  <c r="E66" i="9"/>
  <c r="F66" i="9"/>
  <c r="G66" i="9"/>
  <c r="H66" i="9"/>
  <c r="I66" i="9"/>
  <c r="J66" i="9"/>
  <c r="K66" i="9"/>
  <c r="L66" i="9"/>
  <c r="M66" i="9"/>
  <c r="B66" i="9"/>
  <c r="R7" i="10" l="1"/>
  <c r="R8" i="10"/>
  <c r="D25" i="10"/>
  <c r="R3" i="10"/>
  <c r="C25" i="10"/>
  <c r="O25" i="10"/>
  <c r="G19" i="1" s="1"/>
  <c r="N5" i="10"/>
  <c r="N17" i="6"/>
  <c r="H17" i="6"/>
  <c r="I17" i="6"/>
  <c r="J17" i="6"/>
  <c r="K17" i="6"/>
  <c r="L17" i="6"/>
  <c r="M17" i="6"/>
  <c r="G17" i="6"/>
  <c r="C17" i="6"/>
  <c r="D17" i="6"/>
  <c r="E17" i="6"/>
  <c r="F17" i="6"/>
  <c r="B17" i="6"/>
  <c r="M6" i="6"/>
  <c r="L6" i="6"/>
  <c r="K6" i="6"/>
  <c r="J6" i="6"/>
  <c r="I6" i="6"/>
  <c r="H6" i="6"/>
  <c r="G6" i="6"/>
  <c r="F6" i="6"/>
  <c r="E6" i="6"/>
  <c r="D6" i="6"/>
  <c r="C6" i="6"/>
  <c r="B6" i="6"/>
  <c r="M85" i="9"/>
  <c r="M4" i="9" s="1"/>
  <c r="L85" i="9"/>
  <c r="L4" i="9" s="1"/>
  <c r="J85" i="9"/>
  <c r="J4" i="9" s="1"/>
  <c r="I85" i="9"/>
  <c r="I4" i="9" s="1"/>
  <c r="F85" i="9"/>
  <c r="F4" i="9" s="1"/>
  <c r="E85" i="9"/>
  <c r="E4" i="9" s="1"/>
  <c r="D85" i="9"/>
  <c r="D4" i="9" s="1"/>
  <c r="B85" i="9"/>
  <c r="B4" i="9" s="1"/>
  <c r="N84" i="9"/>
  <c r="N83" i="9"/>
  <c r="N82" i="9"/>
  <c r="K85" i="9"/>
  <c r="K4" i="9" s="1"/>
  <c r="G85" i="9"/>
  <c r="G4" i="9" s="1"/>
  <c r="C85" i="9"/>
  <c r="C4" i="9" s="1"/>
  <c r="N81" i="9"/>
  <c r="N80" i="9"/>
  <c r="N79" i="9"/>
  <c r="N78" i="9"/>
  <c r="N77" i="9"/>
  <c r="N76" i="9"/>
  <c r="N75" i="9"/>
  <c r="H85" i="9"/>
  <c r="H4" i="9" s="1"/>
  <c r="N73" i="9"/>
  <c r="N72" i="9"/>
  <c r="N71" i="9"/>
  <c r="N70" i="9"/>
  <c r="N69" i="9"/>
  <c r="N68" i="9"/>
  <c r="N67" i="9"/>
  <c r="C48" i="9"/>
  <c r="D48" i="9"/>
  <c r="E48" i="9"/>
  <c r="F48" i="9"/>
  <c r="G48" i="9"/>
  <c r="H48" i="9"/>
  <c r="I48" i="9"/>
  <c r="J48" i="9"/>
  <c r="K48" i="9"/>
  <c r="L48" i="9"/>
  <c r="M48" i="9"/>
  <c r="B48" i="9"/>
  <c r="N42" i="9"/>
  <c r="C52" i="9"/>
  <c r="D52" i="9"/>
  <c r="E52" i="9"/>
  <c r="F52" i="9"/>
  <c r="G52" i="9"/>
  <c r="H52" i="9"/>
  <c r="I52" i="9"/>
  <c r="J52" i="9"/>
  <c r="K52" i="9"/>
  <c r="L52" i="9"/>
  <c r="M52" i="9"/>
  <c r="B52" i="9"/>
  <c r="C53" i="9"/>
  <c r="D53" i="9"/>
  <c r="E53" i="9"/>
  <c r="F53" i="9"/>
  <c r="G53" i="9"/>
  <c r="H53" i="9"/>
  <c r="I53" i="9"/>
  <c r="J53" i="9"/>
  <c r="K53" i="9"/>
  <c r="L53" i="9"/>
  <c r="M53" i="9"/>
  <c r="B53" i="9"/>
  <c r="C49" i="9"/>
  <c r="D49" i="9"/>
  <c r="E49" i="9"/>
  <c r="F49" i="9"/>
  <c r="G49" i="9"/>
  <c r="H49" i="9"/>
  <c r="I49" i="9"/>
  <c r="J49" i="9"/>
  <c r="K49" i="9"/>
  <c r="L49" i="9"/>
  <c r="M49" i="9"/>
  <c r="B49" i="9"/>
  <c r="C50" i="9"/>
  <c r="D50" i="9"/>
  <c r="E50" i="9"/>
  <c r="F50" i="9"/>
  <c r="G50" i="9"/>
  <c r="H50" i="9"/>
  <c r="I50" i="9"/>
  <c r="J50" i="9"/>
  <c r="K50" i="9"/>
  <c r="L50" i="9"/>
  <c r="M50" i="9"/>
  <c r="B50" i="9"/>
  <c r="C54" i="9"/>
  <c r="D54" i="9"/>
  <c r="E54" i="9"/>
  <c r="F54" i="9"/>
  <c r="G54" i="9"/>
  <c r="H54" i="9"/>
  <c r="I54" i="9"/>
  <c r="J54" i="9"/>
  <c r="K54" i="9"/>
  <c r="L54" i="9"/>
  <c r="M54" i="9"/>
  <c r="B54" i="9"/>
  <c r="N47" i="9"/>
  <c r="N51" i="9"/>
  <c r="N52" i="9" l="1"/>
  <c r="N48" i="9"/>
  <c r="B9" i="10"/>
  <c r="N4" i="10"/>
  <c r="N16" i="10"/>
  <c r="N23" i="10" s="1"/>
  <c r="C19" i="1" s="1"/>
  <c r="I19" i="1" s="1"/>
  <c r="N66" i="9"/>
  <c r="N85" i="9"/>
  <c r="N74" i="9"/>
  <c r="N53" i="9"/>
  <c r="N49" i="9"/>
  <c r="N50" i="9"/>
  <c r="N54" i="9"/>
  <c r="B61" i="9"/>
  <c r="B5" i="9" s="1"/>
  <c r="B15" i="9" s="1"/>
  <c r="N41" i="9"/>
  <c r="N43" i="9"/>
  <c r="N44" i="9"/>
  <c r="N45" i="9"/>
  <c r="N46" i="9"/>
  <c r="N60" i="9"/>
  <c r="C61" i="9"/>
  <c r="C5" i="9" s="1"/>
  <c r="C15" i="9" s="1"/>
  <c r="D61" i="9"/>
  <c r="D5" i="9" s="1"/>
  <c r="D15" i="9" s="1"/>
  <c r="E61" i="9"/>
  <c r="E5" i="9" s="1"/>
  <c r="E15" i="9" s="1"/>
  <c r="F61" i="9"/>
  <c r="F5" i="9" s="1"/>
  <c r="F15" i="9" s="1"/>
  <c r="G61" i="9"/>
  <c r="G5" i="9" s="1"/>
  <c r="G15" i="9" s="1"/>
  <c r="H61" i="9"/>
  <c r="H5" i="9" s="1"/>
  <c r="H15" i="9" s="1"/>
  <c r="I61" i="9"/>
  <c r="I5" i="9" s="1"/>
  <c r="I15" i="9" s="1"/>
  <c r="J61" i="9"/>
  <c r="J5" i="9" s="1"/>
  <c r="J15" i="9" s="1"/>
  <c r="K61" i="9"/>
  <c r="K5" i="9" s="1"/>
  <c r="K15" i="9" s="1"/>
  <c r="L61" i="9"/>
  <c r="L5" i="9" s="1"/>
  <c r="L15" i="9" s="1"/>
  <c r="M61" i="9"/>
  <c r="M5" i="9" s="1"/>
  <c r="M15" i="9" s="1"/>
  <c r="N40" i="9"/>
  <c r="N9" i="10" l="1"/>
  <c r="B19" i="1" s="1"/>
  <c r="H19" i="1" s="1"/>
  <c r="P4" i="10"/>
  <c r="P9" i="10" s="1"/>
  <c r="P25" i="10" s="1"/>
  <c r="J8" i="9"/>
  <c r="H8" i="9"/>
  <c r="D8" i="9"/>
  <c r="M8" i="9"/>
  <c r="L8" i="9"/>
  <c r="I8" i="9"/>
  <c r="F8" i="9"/>
  <c r="C8" i="9"/>
  <c r="K8" i="9"/>
  <c r="E8" i="9"/>
  <c r="B8" i="9"/>
  <c r="G8" i="9"/>
  <c r="R5" i="10"/>
  <c r="R4" i="10"/>
  <c r="B25" i="10"/>
  <c r="N15" i="9"/>
  <c r="C13" i="1" s="1"/>
  <c r="I13" i="1" s="1"/>
  <c r="N61" i="9"/>
  <c r="N30" i="9"/>
  <c r="P30" i="9" s="1"/>
  <c r="N29" i="9"/>
  <c r="P29" i="9" s="1"/>
  <c r="N28" i="9"/>
  <c r="P28" i="9" s="1"/>
  <c r="N27" i="9"/>
  <c r="P27" i="9" s="1"/>
  <c r="N26" i="9"/>
  <c r="P26" i="9" s="1"/>
  <c r="N25" i="9"/>
  <c r="P25" i="9" s="1"/>
  <c r="N24" i="9"/>
  <c r="P24" i="9" s="1"/>
  <c r="O31" i="9"/>
  <c r="N23" i="9"/>
  <c r="P23" i="9" s="1"/>
  <c r="N22" i="9"/>
  <c r="P22" i="9" s="1"/>
  <c r="N21" i="9"/>
  <c r="P21" i="9" s="1"/>
  <c r="N20" i="9"/>
  <c r="P20" i="9" s="1"/>
  <c r="N19" i="9"/>
  <c r="P19" i="9" s="1"/>
  <c r="N18" i="9"/>
  <c r="N17" i="9"/>
  <c r="N16" i="9"/>
  <c r="N14" i="9"/>
  <c r="N6" i="9"/>
  <c r="P6" i="9" s="1"/>
  <c r="N5" i="9"/>
  <c r="P5" i="9" s="1"/>
  <c r="N4" i="9"/>
  <c r="B10" i="1" s="1"/>
  <c r="H10" i="1" s="1"/>
  <c r="N3" i="9"/>
  <c r="B12" i="1" s="1"/>
  <c r="H12" i="1" s="1"/>
  <c r="C14" i="8"/>
  <c r="M12" i="8"/>
  <c r="L12" i="8"/>
  <c r="K12" i="8"/>
  <c r="J12" i="8"/>
  <c r="F12" i="8"/>
  <c r="E12" i="8"/>
  <c r="D12" i="8"/>
  <c r="C12" i="8"/>
  <c r="B12" i="8"/>
  <c r="N11" i="8"/>
  <c r="I10" i="8"/>
  <c r="I12" i="8" s="1"/>
  <c r="H10" i="8"/>
  <c r="H12" i="8" s="1"/>
  <c r="G10" i="8"/>
  <c r="O12" i="8"/>
  <c r="F7" i="1" s="1"/>
  <c r="N9" i="8"/>
  <c r="O4" i="8"/>
  <c r="M4" i="8"/>
  <c r="M14" i="8" s="1"/>
  <c r="L4" i="8"/>
  <c r="L14" i="8" s="1"/>
  <c r="K4" i="8"/>
  <c r="K14" i="8" s="1"/>
  <c r="J4" i="8"/>
  <c r="I4" i="8"/>
  <c r="H4" i="8"/>
  <c r="G4" i="8"/>
  <c r="F4" i="8"/>
  <c r="F14" i="8" s="1"/>
  <c r="E4" i="8"/>
  <c r="E14" i="8" s="1"/>
  <c r="D4" i="8"/>
  <c r="D14" i="8" s="1"/>
  <c r="C4" i="8"/>
  <c r="B4" i="8"/>
  <c r="B14" i="8" s="1"/>
  <c r="N3" i="8"/>
  <c r="B9" i="1"/>
  <c r="H9" i="1" s="1"/>
  <c r="H11" i="7"/>
  <c r="H13" i="7" s="1"/>
  <c r="I11" i="7"/>
  <c r="I13" i="7" s="1"/>
  <c r="G11" i="7"/>
  <c r="G13" i="7" s="1"/>
  <c r="N10" i="7"/>
  <c r="O13" i="7"/>
  <c r="F9" i="1" s="1"/>
  <c r="M13" i="7"/>
  <c r="L13" i="7"/>
  <c r="K13" i="7"/>
  <c r="J13" i="7"/>
  <c r="F13" i="7"/>
  <c r="E13" i="7"/>
  <c r="D13" i="7"/>
  <c r="C13" i="7"/>
  <c r="B13" i="7"/>
  <c r="N12" i="7"/>
  <c r="O5" i="7"/>
  <c r="M5" i="7"/>
  <c r="L5" i="7"/>
  <c r="K5" i="7"/>
  <c r="J5" i="7"/>
  <c r="I5" i="7"/>
  <c r="H5" i="7"/>
  <c r="G5" i="7"/>
  <c r="F5" i="7"/>
  <c r="E5" i="7"/>
  <c r="D5" i="7"/>
  <c r="C5" i="7"/>
  <c r="B5" i="7"/>
  <c r="N4" i="7"/>
  <c r="N3" i="7"/>
  <c r="D14" i="1"/>
  <c r="J14" i="1" s="1"/>
  <c r="D15" i="1"/>
  <c r="J15" i="1" s="1"/>
  <c r="D16" i="1"/>
  <c r="J16" i="1" s="1"/>
  <c r="D17" i="1"/>
  <c r="J17" i="1" s="1"/>
  <c r="M6" i="2"/>
  <c r="L6" i="2"/>
  <c r="K6" i="2"/>
  <c r="J6" i="2"/>
  <c r="I6" i="2"/>
  <c r="H6" i="2"/>
  <c r="G6" i="2"/>
  <c r="F6" i="2"/>
  <c r="E6" i="2"/>
  <c r="D6" i="2"/>
  <c r="C6" i="2"/>
  <c r="B6" i="2"/>
  <c r="O12" i="6"/>
  <c r="O13" i="6"/>
  <c r="N6" i="6"/>
  <c r="N19" i="6"/>
  <c r="N18" i="6"/>
  <c r="N16" i="6"/>
  <c r="N15" i="6"/>
  <c r="N14" i="6"/>
  <c r="N13" i="6"/>
  <c r="N12" i="6"/>
  <c r="N11" i="6"/>
  <c r="N10" i="6"/>
  <c r="N9" i="6"/>
  <c r="N7" i="6"/>
  <c r="N5" i="6"/>
  <c r="N4" i="6"/>
  <c r="N3" i="6"/>
  <c r="D19" i="1" l="1"/>
  <c r="J19" i="1" s="1"/>
  <c r="N25" i="10"/>
  <c r="F25" i="1"/>
  <c r="C10" i="1"/>
  <c r="I10" i="1" s="1"/>
  <c r="P14" i="9"/>
  <c r="P8" i="9"/>
  <c r="C18" i="1"/>
  <c r="P17" i="9"/>
  <c r="P31" i="9" s="1"/>
  <c r="N4" i="8"/>
  <c r="B7" i="1" s="1"/>
  <c r="H7" i="1" s="1"/>
  <c r="P3" i="8"/>
  <c r="P4" i="8" s="1"/>
  <c r="O14" i="8"/>
  <c r="G7" i="1" s="1"/>
  <c r="C21" i="1"/>
  <c r="I21" i="1" s="1"/>
  <c r="B13" i="1"/>
  <c r="O33" i="9"/>
  <c r="C31" i="9"/>
  <c r="C33" i="9" s="1"/>
  <c r="B31" i="9"/>
  <c r="B33" i="9" s="1"/>
  <c r="I14" i="8"/>
  <c r="J14" i="8"/>
  <c r="N10" i="8"/>
  <c r="H14" i="8"/>
  <c r="G12" i="8"/>
  <c r="G14" i="8" s="1"/>
  <c r="I15" i="7"/>
  <c r="N11" i="7"/>
  <c r="N13" i="7" s="1"/>
  <c r="C9" i="1" s="1"/>
  <c r="D9" i="1" s="1"/>
  <c r="K15" i="7"/>
  <c r="C15" i="7"/>
  <c r="H15" i="7"/>
  <c r="G15" i="7"/>
  <c r="O15" i="7"/>
  <c r="G9" i="1" s="1"/>
  <c r="D15" i="7"/>
  <c r="L15" i="7"/>
  <c r="E15" i="7"/>
  <c r="M15" i="7"/>
  <c r="B15" i="7"/>
  <c r="F15" i="7"/>
  <c r="J15" i="7"/>
  <c r="N5" i="7"/>
  <c r="G21" i="1"/>
  <c r="O30" i="5"/>
  <c r="O8" i="5"/>
  <c r="B30" i="5"/>
  <c r="B8" i="5"/>
  <c r="O38" i="2"/>
  <c r="G6" i="1" s="1"/>
  <c r="P33" i="9" l="1"/>
  <c r="D13" i="1"/>
  <c r="J13" i="1" s="1"/>
  <c r="H13" i="1"/>
  <c r="D10" i="1"/>
  <c r="J10" i="1" s="1"/>
  <c r="D18" i="1"/>
  <c r="J18" i="1" s="1"/>
  <c r="I18" i="1"/>
  <c r="I9" i="1"/>
  <c r="N12" i="8"/>
  <c r="C7" i="1" s="1"/>
  <c r="P10" i="8"/>
  <c r="P12" i="8" s="1"/>
  <c r="P14" i="8" s="1"/>
  <c r="D21" i="1"/>
  <c r="J21" i="1" s="1"/>
  <c r="D14" i="12"/>
  <c r="J9" i="1"/>
  <c r="N8" i="9"/>
  <c r="D11" i="1"/>
  <c r="J11" i="1" s="1"/>
  <c r="D31" i="9"/>
  <c r="D33" i="9" s="1"/>
  <c r="N15" i="7"/>
  <c r="B32" i="5"/>
  <c r="O32" i="5"/>
  <c r="G8" i="1" s="1"/>
  <c r="G25" i="1" s="1"/>
  <c r="N8" i="2"/>
  <c r="N6" i="2"/>
  <c r="N5" i="2"/>
  <c r="P5" i="2" s="1"/>
  <c r="N4" i="2"/>
  <c r="P4" i="2" s="1"/>
  <c r="M8" i="5"/>
  <c r="L8" i="5"/>
  <c r="K8" i="5"/>
  <c r="J8" i="5"/>
  <c r="I8" i="5"/>
  <c r="H8" i="5"/>
  <c r="G8" i="5"/>
  <c r="F8" i="5"/>
  <c r="E8" i="5"/>
  <c r="D8" i="5"/>
  <c r="C8" i="5"/>
  <c r="N7" i="5"/>
  <c r="P7" i="5" s="1"/>
  <c r="N6" i="5"/>
  <c r="N5" i="5"/>
  <c r="N4" i="5"/>
  <c r="P4" i="5" s="1"/>
  <c r="N3" i="5"/>
  <c r="N29" i="5"/>
  <c r="N27" i="5"/>
  <c r="N26" i="5"/>
  <c r="N25" i="5"/>
  <c r="N24" i="5"/>
  <c r="P24" i="5" s="1"/>
  <c r="N23" i="5"/>
  <c r="N22" i="5"/>
  <c r="N21" i="5"/>
  <c r="N20" i="5"/>
  <c r="N19" i="5"/>
  <c r="N18" i="5"/>
  <c r="N17" i="5"/>
  <c r="N16" i="5"/>
  <c r="D7" i="1" l="1"/>
  <c r="J7" i="1" s="1"/>
  <c r="I7" i="1"/>
  <c r="P8" i="5"/>
  <c r="P10" i="2"/>
  <c r="N14" i="8"/>
  <c r="N10" i="2"/>
  <c r="B6" i="1" s="1"/>
  <c r="H6" i="1" s="1"/>
  <c r="E31" i="9"/>
  <c r="E33" i="9" s="1"/>
  <c r="N8" i="5"/>
  <c r="B8" i="1" s="1"/>
  <c r="H8" i="1" s="1"/>
  <c r="N14" i="5"/>
  <c r="P14" i="5" s="1"/>
  <c r="P30" i="5" s="1"/>
  <c r="N28" i="5"/>
  <c r="N15" i="5"/>
  <c r="C30" i="5"/>
  <c r="C32" i="5" s="1"/>
  <c r="N35" i="2"/>
  <c r="P35" i="2" s="1"/>
  <c r="P32" i="5" l="1"/>
  <c r="H25" i="1"/>
  <c r="B25" i="1"/>
  <c r="D8" i="12" s="1"/>
  <c r="F31" i="9"/>
  <c r="F33" i="9" s="1"/>
  <c r="D30" i="5"/>
  <c r="D32" i="5" s="1"/>
  <c r="N22" i="2"/>
  <c r="N23" i="2"/>
  <c r="P23" i="2" s="1"/>
  <c r="N24" i="2"/>
  <c r="N25" i="2"/>
  <c r="N21" i="2"/>
  <c r="G82" i="3"/>
  <c r="F84" i="3" s="1"/>
  <c r="F85" i="3" s="1"/>
  <c r="F82" i="3"/>
  <c r="F77" i="3"/>
  <c r="F78" i="3"/>
  <c r="F79" i="3"/>
  <c r="F80" i="3"/>
  <c r="F81" i="3"/>
  <c r="F76" i="3"/>
  <c r="G31" i="9" l="1"/>
  <c r="G33" i="9" s="1"/>
  <c r="E30" i="5"/>
  <c r="E32" i="5" s="1"/>
  <c r="N34" i="2"/>
  <c r="P34" i="2" s="1"/>
  <c r="N16" i="2"/>
  <c r="P16" i="2" s="1"/>
  <c r="N17" i="2"/>
  <c r="P17" i="2" s="1"/>
  <c r="N18" i="2"/>
  <c r="N20" i="2"/>
  <c r="N26" i="2"/>
  <c r="N28" i="2"/>
  <c r="N19" i="2"/>
  <c r="P19" i="2" s="1"/>
  <c r="N29" i="2"/>
  <c r="P29" i="2" s="1"/>
  <c r="N30" i="2"/>
  <c r="N31" i="2"/>
  <c r="P31" i="2" s="1"/>
  <c r="N32" i="2"/>
  <c r="C37" i="3"/>
  <c r="F37" i="3" s="1"/>
  <c r="B36" i="3"/>
  <c r="C36" i="3"/>
  <c r="D36" i="3" s="1"/>
  <c r="B35" i="3"/>
  <c r="C35" i="3"/>
  <c r="F35" i="3" s="1"/>
  <c r="B34" i="3"/>
  <c r="C34" i="3" s="1"/>
  <c r="F36" i="3"/>
  <c r="F32" i="3"/>
  <c r="C33" i="3"/>
  <c r="F33" i="3" s="1"/>
  <c r="C31" i="3"/>
  <c r="D31" i="3" l="1"/>
  <c r="F31" i="3"/>
  <c r="P18" i="2"/>
  <c r="U18" i="2"/>
  <c r="P28" i="2"/>
  <c r="N36" i="2"/>
  <c r="H31" i="9"/>
  <c r="H33" i="9" s="1"/>
  <c r="F30" i="5"/>
  <c r="F32" i="5" s="1"/>
  <c r="F34" i="3"/>
  <c r="D34" i="3"/>
  <c r="D33" i="3"/>
  <c r="D35" i="3"/>
  <c r="D37" i="3"/>
  <c r="P36" i="2" l="1"/>
  <c r="P38" i="2" s="1"/>
  <c r="I31" i="9"/>
  <c r="I33" i="9" s="1"/>
  <c r="G30" i="5"/>
  <c r="G32" i="5" s="1"/>
  <c r="F38" i="3"/>
  <c r="J31" i="9" l="1"/>
  <c r="J33" i="9" s="1"/>
  <c r="H30" i="5"/>
  <c r="H32" i="5" s="1"/>
  <c r="B36" i="2"/>
  <c r="B38" i="2" s="1"/>
  <c r="K31" i="9" l="1"/>
  <c r="K33" i="9" s="1"/>
  <c r="I30" i="5"/>
  <c r="I32" i="5" s="1"/>
  <c r="C36" i="2"/>
  <c r="C38" i="2" s="1"/>
  <c r="L31" i="9" l="1"/>
  <c r="L33" i="9" s="1"/>
  <c r="J30" i="5"/>
  <c r="J32" i="5" s="1"/>
  <c r="D36" i="2"/>
  <c r="D38" i="2" s="1"/>
  <c r="M31" i="9" l="1"/>
  <c r="M33" i="9" s="1"/>
  <c r="N13" i="9"/>
  <c r="K30" i="5"/>
  <c r="K32" i="5" s="1"/>
  <c r="E36" i="2"/>
  <c r="E38" i="2" s="1"/>
  <c r="N31" i="9" l="1"/>
  <c r="N33" i="9" s="1"/>
  <c r="C12" i="1"/>
  <c r="L30" i="5"/>
  <c r="L32" i="5" s="1"/>
  <c r="F36" i="2"/>
  <c r="F38" i="2" s="1"/>
  <c r="D12" i="1" l="1"/>
  <c r="J12" i="1" s="1"/>
  <c r="I12" i="1"/>
  <c r="M30" i="5"/>
  <c r="M32" i="5" s="1"/>
  <c r="N30" i="5"/>
  <c r="G36" i="2"/>
  <c r="G38" i="2" s="1"/>
  <c r="N32" i="5" l="1"/>
  <c r="C8" i="1"/>
  <c r="H36" i="2"/>
  <c r="H38" i="2" s="1"/>
  <c r="D8" i="1" l="1"/>
  <c r="J8" i="1" s="1"/>
  <c r="I8" i="1"/>
  <c r="I36" i="2"/>
  <c r="I38" i="2" s="1"/>
  <c r="J36" i="2" l="1"/>
  <c r="J38" i="2" s="1"/>
  <c r="K36" i="2" l="1"/>
  <c r="K38" i="2" s="1"/>
  <c r="L36" i="2" l="1"/>
  <c r="L38" i="2" s="1"/>
  <c r="M36" i="2" l="1"/>
  <c r="M38" i="2" s="1"/>
  <c r="C6" i="1" l="1"/>
  <c r="I6" i="1" s="1"/>
  <c r="I25" i="1" s="1"/>
  <c r="C25" i="1" l="1"/>
  <c r="D10" i="12" s="1"/>
  <c r="D12" i="12" s="1"/>
  <c r="D16" i="12" s="1"/>
  <c r="D6" i="1"/>
  <c r="N38" i="2"/>
  <c r="D25" i="1" l="1"/>
  <c r="J6" i="1"/>
  <c r="J25" i="1" s="1"/>
</calcChain>
</file>

<file path=xl/comments1.xml><?xml version="1.0" encoding="utf-8"?>
<comments xmlns="http://schemas.openxmlformats.org/spreadsheetml/2006/main">
  <authors>
    <author>תומר חדד</author>
  </authors>
  <commentList>
    <comment ref="A28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2.xml><?xml version="1.0" encoding="utf-8"?>
<comments xmlns="http://schemas.openxmlformats.org/spreadsheetml/2006/main">
  <authors>
    <author>תומר חדד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3.xml><?xml version="1.0" encoding="utf-8"?>
<comments xmlns="http://schemas.openxmlformats.org/spreadsheetml/2006/main">
  <authors>
    <author>תומר חדד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4.xml><?xml version="1.0" encoding="utf-8"?>
<comments xmlns="http://schemas.openxmlformats.org/spreadsheetml/2006/main">
  <authors>
    <author>תומר חדד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sharedStrings.xml><?xml version="1.0" encoding="utf-8"?>
<sst xmlns="http://schemas.openxmlformats.org/spreadsheetml/2006/main" count="545" uniqueCount="260">
  <si>
    <t>סה"כ הכנסות</t>
  </si>
  <si>
    <t>סה"כ הוצאות</t>
  </si>
  <si>
    <t>קאנטרי קלאב</t>
  </si>
  <si>
    <t>מתקני פרסום</t>
  </si>
  <si>
    <t>שוק עירוני</t>
  </si>
  <si>
    <t>נכסים מניבים</t>
  </si>
  <si>
    <t>מרכז חדשנות שלב א' קאנטרי</t>
  </si>
  <si>
    <t>מרכז יזמות ברוש שלב א'</t>
  </si>
  <si>
    <t>מרכז חדשנות שלב ב' קאנטרי</t>
  </si>
  <si>
    <t>מרכז יזמות ברוש שלב ב'</t>
  </si>
  <si>
    <t>מתחם התחנה</t>
  </si>
  <si>
    <t>שכר עובדים</t>
  </si>
  <si>
    <t>שכר מדריכים</t>
  </si>
  <si>
    <t>שמירה ואבטחה</t>
  </si>
  <si>
    <t>ניקיון</t>
  </si>
  <si>
    <t>חשמל</t>
  </si>
  <si>
    <t>מים</t>
  </si>
  <si>
    <t>ארנונה</t>
  </si>
  <si>
    <t>חומרי ניקיון</t>
  </si>
  <si>
    <t>גז</t>
  </si>
  <si>
    <t>משרדיות וכיבודים</t>
  </si>
  <si>
    <t>אחזקה</t>
  </si>
  <si>
    <t>מחשוב</t>
  </si>
  <si>
    <t>פרסום</t>
  </si>
  <si>
    <t>גינון</t>
  </si>
  <si>
    <t>שכירות מגרש חנייה [כרסנטי]</t>
  </si>
  <si>
    <t xml:space="preserve">אירועים </t>
  </si>
  <si>
    <t>מפעילים</t>
  </si>
  <si>
    <t>אלי לסרי</t>
  </si>
  <si>
    <t>חוסי חבשי</t>
  </si>
  <si>
    <t>מצילים</t>
  </si>
  <si>
    <t>הייב ספא</t>
  </si>
  <si>
    <t>כפיר גורנו</t>
  </si>
  <si>
    <t>חדר כושר</t>
  </si>
  <si>
    <t>סטוקול רומן</t>
  </si>
  <si>
    <t>קבלה</t>
  </si>
  <si>
    <t>נחמה איתן</t>
  </si>
  <si>
    <t>סימה אוחנה</t>
  </si>
  <si>
    <t>מדריכים</t>
  </si>
  <si>
    <t>עופר מור</t>
  </si>
  <si>
    <t>שמעון אלבז</t>
  </si>
  <si>
    <t>אלמקייס חנן</t>
  </si>
  <si>
    <t>אביבית אדרי</t>
  </si>
  <si>
    <t>בן עטיה</t>
  </si>
  <si>
    <t>מתן נאור</t>
  </si>
  <si>
    <t>דימה סמנוברסקי</t>
  </si>
  <si>
    <t>הנהלה</t>
  </si>
  <si>
    <t>פילו אברהם</t>
  </si>
  <si>
    <t>ניר חמי</t>
  </si>
  <si>
    <t>גריגוביץ ג'ורג'</t>
  </si>
  <si>
    <t>עמאר זועבי</t>
  </si>
  <si>
    <t>שי שלו</t>
  </si>
  <si>
    <t xml:space="preserve">העסקת עובדים </t>
  </si>
  <si>
    <t>בריכת עפולה עלית</t>
  </si>
  <si>
    <t>איברהים נג'אר</t>
  </si>
  <si>
    <t>גיא איילת</t>
  </si>
  <si>
    <t>מימרן יוהד</t>
  </si>
  <si>
    <t>מטלון נמרוד</t>
  </si>
  <si>
    <t>שרעבי נטלי</t>
  </si>
  <si>
    <t>מחלקה</t>
  </si>
  <si>
    <t>שם העובד</t>
  </si>
  <si>
    <t>תקנים</t>
  </si>
  <si>
    <t>שבועי</t>
  </si>
  <si>
    <t>חודשי</t>
  </si>
  <si>
    <t>שנתי</t>
  </si>
  <si>
    <t>תקציב תקן חודשי</t>
  </si>
  <si>
    <t>תעריף שכר ממוצע</t>
  </si>
  <si>
    <t xml:space="preserve">ינואר 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</si>
  <si>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</si>
  <si>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</si>
  <si>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</si>
  <si>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</si>
  <si>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</si>
  <si>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</si>
  <si>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</si>
  <si>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</si>
  <si>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</si>
  <si>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</si>
  <si>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</si>
  <si>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סיכומים</t>
  </si>
  <si>
    <t>הסברים:</t>
  </si>
  <si>
    <t>לגבי מפעילים, מצילים ומדריכי כושר. נלקחו בחשבון שעות פעילות הקאנטרי למעט שעות עבודות הניקיון בימי א' עד 16:00. מצילים ומפעלילם נלקח בחשבון כבכל ימי הפעילות משעה  5:15 ועד 22:00.</t>
  </si>
  <si>
    <t>לבעלי תפקידים אלה, אין מה לחפש לפני 5:15 וגם לא אחרי 22:00 שאין פעילות בבריכה. לגבי חדר כושר, נלקחה בחשבון פעילות בכל הימים כמו מפעילם / מצילים, למעט בימי ראשון, משעה 15:00 בלבד ! ועד 22:00</t>
  </si>
  <si>
    <t>ביתר הימים נלקח בחשבון כי בשעות השיא ישנה חפיפה של 3 שעות בין שני מדריכים.</t>
  </si>
  <si>
    <t xml:space="preserve">עובדי ניקיון, נלקח בחשבון בכל שעות הפעילות לרבות ימי ראשון, במכפלה תקן ממוצע של 2.5 עובדים למשמרת. אני חושב שיש להגדיר תקן לפי ב 7/8 בבוקר מתחילים 2 עובדים [גבר / אישה] ובשעה 15:00 / 16:00 יש מגיעה תגבורת </t>
  </si>
  <si>
    <t>של עוד עובד/ת עד 20:00 ככה בשעות השיא יש 3 עובדים.</t>
  </si>
  <si>
    <t>קבלה ואחזקה, אינם קשורים לפתיחה וסגירה ולכן חושבו לפי תקן שעות לפי שעות בפעול. קבלה 8:00 -21:00 ובימי שישי שבת בהתאמה. אחזקה, 5 ימים בשבוע 9 שעות ליום</t>
  </si>
  <si>
    <t>הנהלה לפי תקן של עד 200 שעות חודשיות.</t>
  </si>
  <si>
    <t>בכל מקרה, הכל התקנים הוכלפו במרדמי בטחון של 8% -10% חריגות, חפיפה בין עובדים וכד'.</t>
  </si>
  <si>
    <t>הערות ליישום:</t>
  </si>
  <si>
    <t>1. אין צורך בעובד קבלה בימי ראשון עד שעה 15:00</t>
  </si>
  <si>
    <t>2. רומן חד"כ - אין תחילת עבודה לפני שעה 15:00 בימי א' -אין אישור תקן לכך ! לא ישולם שכר</t>
  </si>
  <si>
    <t xml:space="preserve">3. חל איסור מוחלט על כולם לעבוד מעל 6 ימים בשבוע כולל הנהלה . </t>
  </si>
  <si>
    <t>תחשיב שעות שאש</t>
  </si>
  <si>
    <t>יום א</t>
  </si>
  <si>
    <t>יום ב</t>
  </si>
  <si>
    <t>יום ג</t>
  </si>
  <si>
    <t>יום ד</t>
  </si>
  <si>
    <t>יום ה</t>
  </si>
  <si>
    <t>יום ו</t>
  </si>
  <si>
    <t>יום ש</t>
  </si>
  <si>
    <t>רגיל</t>
  </si>
  <si>
    <t>שבת</t>
  </si>
  <si>
    <t>תעריף רגיל</t>
  </si>
  <si>
    <t>תעריף שבת</t>
  </si>
  <si>
    <t>שבוע</t>
  </si>
  <si>
    <t>חודש</t>
  </si>
  <si>
    <t>משפטיות / פיצויי תביעה</t>
  </si>
  <si>
    <t>רכוש קבוע / ציוד כושר</t>
  </si>
  <si>
    <t>הכנסות ממנויים</t>
  </si>
  <si>
    <t>הכנסות ממכירות חד-פעמיות</t>
  </si>
  <si>
    <t>הכנסות מבריכה חיצונית</t>
  </si>
  <si>
    <t>הכנסה משכירויות</t>
  </si>
  <si>
    <t>הכנסות מאירועים</t>
  </si>
  <si>
    <t>תקשורת [טלפון, אינטרנט, טלויזיה, הודעות]</t>
  </si>
  <si>
    <t>בריכה עפולה עילית -הכנסות</t>
  </si>
  <si>
    <t>בריכה עפולה עילית - הוצאות</t>
  </si>
  <si>
    <t>קאנטרי קלאב -הכנסות</t>
  </si>
  <si>
    <t>קאנטרי קלאב -הוצאות</t>
  </si>
  <si>
    <t>סה"כ 2017</t>
  </si>
  <si>
    <t>סה"כ 2016</t>
  </si>
  <si>
    <t>סה"כ הכנסות בניכוי הוצאות</t>
  </si>
  <si>
    <t>אין חיוב ארנונה עבור בריכת עפולה עילית</t>
  </si>
  <si>
    <t>אין חיוב בגין חשמל</t>
  </si>
  <si>
    <t>הנהלה וכלליות - הוצאות</t>
  </si>
  <si>
    <t>אחזקת רכב</t>
  </si>
  <si>
    <t>משפטיות</t>
  </si>
  <si>
    <t>הנהלת חשבונות וביקורת</t>
  </si>
  <si>
    <t>שכ"ד</t>
  </si>
  <si>
    <t>ניקיון משרד</t>
  </si>
  <si>
    <t>אגרות ודמי חבר</t>
  </si>
  <si>
    <t>תקשורת [טלפון, פלאפון]</t>
  </si>
  <si>
    <t>הפרשה לחובות מסופקים</t>
  </si>
  <si>
    <t>כיבודים, שי ומתנות</t>
  </si>
  <si>
    <t xml:space="preserve">משרדיות  ואחזקת מחשב </t>
  </si>
  <si>
    <t>קורסים והשתלמויות</t>
  </si>
  <si>
    <t>דואר, משלוחים, הדפסות וצילומים</t>
  </si>
  <si>
    <t>הנהלה וכלליות</t>
  </si>
  <si>
    <t>מזנון בריכה עפולה עילית -הכנסות</t>
  </si>
  <si>
    <t>מזנון בריכה עפולה עילית - הוצאות</t>
  </si>
  <si>
    <t>הכנסות מזנון</t>
  </si>
  <si>
    <t>אחזקה וציוד עזר</t>
  </si>
  <si>
    <t>קניות מזון ומשקאות</t>
  </si>
  <si>
    <t>מזנון בריכה עפולה עילית</t>
  </si>
  <si>
    <t>מזנון בריכה קאנטרי קלאב</t>
  </si>
  <si>
    <t>מזנון בריכה קאנטרי קלאב -הכנסות</t>
  </si>
  <si>
    <t>מזנון בריכה קאנטרי קלאב - הוצאות</t>
  </si>
  <si>
    <t>שכירויות -הכנסות</t>
  </si>
  <si>
    <t>הכנסות שוק מקורה</t>
  </si>
  <si>
    <t>הכנסות ממתן זכויות פרסום</t>
  </si>
  <si>
    <t>שכירויות -הוצאות</t>
  </si>
  <si>
    <t>הוצאות שוק מקורה</t>
  </si>
  <si>
    <t>הוצאות ממתן זכויות פרסום</t>
  </si>
  <si>
    <t>הכנסות שכירות מתחם התחנה</t>
  </si>
  <si>
    <t>הוצאות בגין שכירות מתחם התחנה</t>
  </si>
  <si>
    <t>פרטנר</t>
  </si>
  <si>
    <t>הכנסה משכירויות:</t>
  </si>
  <si>
    <t>סה"כ העכנסות משכירויות</t>
  </si>
  <si>
    <t>וקנין שרון אתי</t>
  </si>
  <si>
    <t>אשד גתוע</t>
  </si>
  <si>
    <t>בן חמו רוזה</t>
  </si>
  <si>
    <t>גלעד ציפורה</t>
  </si>
  <si>
    <t>יוסי גוזלן</t>
  </si>
  <si>
    <t>אמיר סילקו</t>
  </si>
  <si>
    <t>איזו לייזר אלקטרוני</t>
  </si>
  <si>
    <t>הוט טלקום</t>
  </si>
  <si>
    <t>ביכורי עדן - גבריאלי יקיר</t>
  </si>
  <si>
    <t>ביכורי העמק</t>
  </si>
  <si>
    <t>פוינטר טלוקיישן</t>
  </si>
  <si>
    <t>הוצאות בגין שכירויות - עמלה לעירייה 60%</t>
  </si>
  <si>
    <t>שע"ח דולר</t>
  </si>
  <si>
    <t>רחל איפרגן - בונז'ור</t>
  </si>
  <si>
    <t>סכום החיוב איננו תואם את החוזה</t>
  </si>
  <si>
    <t>מדד המחירים לצרכן 4/17 (בסיס 1951):</t>
  </si>
  <si>
    <t>פבל יונה</t>
  </si>
  <si>
    <t xml:space="preserve">וקנין שרון </t>
  </si>
  <si>
    <t>הכנסה ממתן זכויות פרסום</t>
  </si>
  <si>
    <t>גידול עקב הגדלת שטחי המשרדים</t>
  </si>
  <si>
    <t>גידול עקב תוספת 2 רכבים החל מחודש 6/17</t>
  </si>
  <si>
    <t>נגריית קטלן - קטלן יוסף</t>
  </si>
  <si>
    <t>דגל תקשורת - שלטי דגל</t>
  </si>
  <si>
    <t>לפי כמות של 115 שלטי דגל</t>
  </si>
  <si>
    <t>מרקעים שלטי חוצות</t>
  </si>
  <si>
    <t>מאיר בורוס - מסך נייד</t>
  </si>
  <si>
    <t>מירב לבנון - שלטי הכוונה</t>
  </si>
  <si>
    <t>מקסימדיה - שלטי בילבורד</t>
  </si>
  <si>
    <t>מקסימדיה - גשר בי"ח</t>
  </si>
  <si>
    <t>טוניאן ארז חיים (HTV)</t>
  </si>
  <si>
    <t>רפי פרדו</t>
  </si>
  <si>
    <t>פסחוב</t>
  </si>
  <si>
    <t>מחצית מהשכר של עובדי המזנונים שנרשם בכרטסת בריכת עפולה עילית</t>
  </si>
  <si>
    <t>הכנסות ממכרזים</t>
  </si>
  <si>
    <t>הוצאות מכרזים</t>
  </si>
  <si>
    <t>הכנסות שכר עבודה מנהל הנדסה</t>
  </si>
  <si>
    <t>הוצאות שכר מנהל הנדסה</t>
  </si>
  <si>
    <t>הכנסות שכר טיפת חלב</t>
  </si>
  <si>
    <t>הוצאות שכר טיפת חלב</t>
  </si>
  <si>
    <t>הכנסות שכר חינוך</t>
  </si>
  <si>
    <t>הוצאות שכר חינוך</t>
  </si>
  <si>
    <t>הכנסות שכר מחלקת תפעול</t>
  </si>
  <si>
    <t>הוצאות שכר מחלקת תפעול</t>
  </si>
  <si>
    <t>הכנסות שכר לשכת ראש העיר</t>
  </si>
  <si>
    <t>הוצאות שכר לשכת ראש העיר</t>
  </si>
  <si>
    <t>הכנסות שכר לשכת מנכ"ל העירייה</t>
  </si>
  <si>
    <t>הוצאות שכר לשכת מנכ"ל העירייה</t>
  </si>
  <si>
    <t>אחוז 2016</t>
  </si>
  <si>
    <t>אחוז 2017</t>
  </si>
  <si>
    <t>גידול בקווי הטלפון והפלאפונים עקב גידול בכמות העובדים</t>
  </si>
  <si>
    <t>סה"כ</t>
  </si>
  <si>
    <t>הוצאות בגין השכרת  מרכז חדשנות קאנטרי קלאב - שלב א</t>
  </si>
  <si>
    <t>הכנסה שכירות מרכז חדשנות לקאנטרי קלאב - שלב א</t>
  </si>
  <si>
    <t>הוצאות בגין השכרת  מרכז חדשנות קאנטרי קלאב - שלב ב</t>
  </si>
  <si>
    <t>הכנסה שכירות מרכז חדשנות לקאנטרי קלאב - שלב ב</t>
  </si>
  <si>
    <t>מכרזים</t>
  </si>
  <si>
    <t>בשנת 2017 לפי צפי פרסום של 4 מכרזים</t>
  </si>
  <si>
    <t>השתתפות רמ"י בעלויות מנהלת הסכמי הגג</t>
  </si>
  <si>
    <t>גידול בשכר עקב עליה בשכר המינימום</t>
  </si>
  <si>
    <t>דמי חכירה</t>
  </si>
  <si>
    <t>הפרש 2016&lt;&gt;2017</t>
  </si>
  <si>
    <t>הכנסות - משרד התשתיות מענק משאבות חום</t>
  </si>
  <si>
    <t>הכנסות אחרות (פרסום, מכירת תוספי מזון)</t>
  </si>
  <si>
    <t>אגרות</t>
  </si>
  <si>
    <t>משרדיות, ביגוד,קורסים וכיבודים</t>
  </si>
  <si>
    <t>מחצית מהשכר של עובדי המזנונים שנרשם במקור בכרטסת בריכת עפולה עילית מועמס על מזנון הקאנטרי</t>
  </si>
  <si>
    <t>חממה טכנולוגית - מרכז חדשנות -הכנסות</t>
  </si>
  <si>
    <t>חממה טכנולוגית - מרכז חדשנות -הוצאות</t>
  </si>
  <si>
    <t>אחרות</t>
  </si>
  <si>
    <t xml:space="preserve">קיטון עקב מעבר לחימום מים בחשמל במקום רק בגז החל מ-5/16 </t>
  </si>
  <si>
    <t>גידול עקב מעבר לחימום מים בחשמל במקום רק בגז החל מ-5/16 + עליית תעריפים ממוצעת של 5%</t>
  </si>
  <si>
    <t>הכנסות</t>
  </si>
  <si>
    <t>רווח (הפסד) גולמי</t>
  </si>
  <si>
    <t>הוצאות הנהלה וכלליות</t>
  </si>
  <si>
    <t>רווח (הפסד) תפעולי</t>
  </si>
  <si>
    <t>תקציב</t>
  </si>
  <si>
    <t>דוח כספי</t>
  </si>
  <si>
    <t>דוח רווח והפסד - תקציב 2017</t>
  </si>
  <si>
    <t>העסקת עובדים -הכנסות</t>
  </si>
  <si>
    <t>העסקת עובדים -הוצאות</t>
  </si>
  <si>
    <t>הפרש</t>
  </si>
  <si>
    <t>עבודות שיקום גינון שבוצעו בפועל + חוזה שירות ע"ס 4,000 ₪ שלא היה ש.ק</t>
  </si>
  <si>
    <t>בשנת 2016 לא היה חיוב עבור מים</t>
  </si>
  <si>
    <t>שושן אלאנורה</t>
  </si>
  <si>
    <t>מרום נהיגה</t>
  </si>
  <si>
    <t xml:space="preserve">בשנת 2016 תחילת שכירות ב-5/16 ובשנת 2017 שכירות בכל השנה </t>
  </si>
  <si>
    <t>גידול עקב הגדלת השטח השכור לכל הקומה</t>
  </si>
  <si>
    <t>רווח (הפסד)</t>
  </si>
  <si>
    <t xml:space="preserve">סעיף / מגזר פעילות </t>
  </si>
  <si>
    <t>עלות ההכנסות והשירותים (כולל פחת)</t>
  </si>
  <si>
    <t>הוצאות פחת</t>
  </si>
  <si>
    <t>קיטון עקב העמסת 20% על הקאנטרי</t>
  </si>
  <si>
    <t>עלות העסקת מנהל מנהלת הסכמי הגג + 50% עלות העסקת מנהל כספים +30% עלות העסקת מנהח"ש + 60%-70% מההוצאות</t>
  </si>
  <si>
    <t>החברה הכלכלית לפיתוח עפולה - תקציב 2017</t>
  </si>
  <si>
    <t xml:space="preserve"> דוח כספי</t>
  </si>
  <si>
    <t>(*) 2016</t>
  </si>
  <si>
    <t>(*) 2015</t>
  </si>
  <si>
    <t>(*)בשנים 2016 ו-2015 כולל העסקת עובדי החינוך</t>
  </si>
  <si>
    <t>הכנסות בניטרול הכנסות עובדי חינוך</t>
  </si>
  <si>
    <t>הוצאות בניטרול הוצ' העסקת עובדי חינוך</t>
  </si>
  <si>
    <t>רווח (הפסד) גולמי בניטרול עובדי חינוך</t>
  </si>
  <si>
    <t>סה"כ בניטרול פחת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</si>
</sst>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00"/>
    <numFmt numFmtId="166" formatCode="_ * #,##0_ ;_ * \(#,##0\)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9"/>
      <color indexed="81"/>
      <name val="Tahoma"/>
      <family val="2"/>
    </font>
    <font>
      <sz val="11"/>
      <color theme="1"/>
      <name val="Arial"/>
      <family val="2"/>
      <scheme val="minor"/>
    </font>
    <font>
      <sz val="2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3999450666829432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/>
    <xf numFmtId="0" fontId="3" fillId="2" borderId="6" xfId="0" applyFont="1" applyFill="1" applyBorder="1" applyAlignment="1">
      <alignment horizontal="center"/>
    </xf>
    <xf numFmtId="164" fontId="2" fillId="2" borderId="7" xfId="1" applyNumberFormat="1" applyFont="1" applyFill="1" applyBorder="1"/>
    <xf numFmtId="0" fontId="2" fillId="2" borderId="8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164" fontId="2" fillId="2" borderId="9" xfId="1" applyNumberFormat="1" applyFont="1" applyFill="1" applyBorder="1"/>
    <xf numFmtId="164" fontId="2" fillId="2" borderId="10" xfId="1" applyNumberFormat="1" applyFont="1" applyFill="1" applyBorder="1"/>
    <xf numFmtId="164" fontId="2" fillId="2" borderId="2" xfId="1" applyNumberFormat="1" applyFont="1" applyFill="1" applyBorder="1"/>
    <xf numFmtId="164" fontId="2" fillId="0" borderId="0" xfId="0" applyNumberFormat="1" applyFont="1"/>
    <xf numFmtId="0" fontId="0" fillId="5" borderId="1" xfId="0" applyFill="1" applyBorder="1"/>
    <xf numFmtId="164" fontId="0" fillId="5" borderId="1" xfId="1" applyNumberFormat="1" applyFont="1" applyFill="1" applyBorder="1"/>
    <xf numFmtId="164" fontId="0" fillId="5" borderId="3" xfId="1" applyNumberFormat="1" applyFont="1" applyFill="1" applyBorder="1"/>
    <xf numFmtId="0" fontId="0" fillId="0" borderId="1" xfId="0" applyFill="1" applyBorder="1"/>
    <xf numFmtId="0" fontId="0" fillId="6" borderId="1" xfId="0" applyFill="1" applyBorder="1"/>
    <xf numFmtId="164" fontId="0" fillId="6" borderId="1" xfId="1" applyNumberFormat="1" applyFont="1" applyFill="1" applyBorder="1"/>
    <xf numFmtId="164" fontId="0" fillId="6" borderId="3" xfId="1" applyNumberFormat="1" applyFont="1" applyFill="1" applyBorder="1"/>
    <xf numFmtId="0" fontId="0" fillId="0" borderId="4" xfId="0" applyFill="1" applyBorder="1"/>
    <xf numFmtId="164" fontId="0" fillId="5" borderId="4" xfId="1" applyNumberFormat="1" applyFont="1" applyFill="1" applyBorder="1"/>
    <xf numFmtId="164" fontId="0" fillId="5" borderId="5" xfId="1" applyNumberFormat="1" applyFont="1" applyFill="1" applyBorder="1"/>
    <xf numFmtId="0" fontId="0" fillId="0" borderId="0" xfId="0" applyFill="1"/>
    <xf numFmtId="0" fontId="2" fillId="7" borderId="8" xfId="0" applyFont="1" applyFill="1" applyBorder="1"/>
    <xf numFmtId="164" fontId="2" fillId="7" borderId="9" xfId="1" applyNumberFormat="1" applyFont="1" applyFill="1" applyBorder="1"/>
    <xf numFmtId="164" fontId="2" fillId="7" borderId="10" xfId="1" applyNumberFormat="1" applyFont="1" applyFill="1" applyBorder="1"/>
    <xf numFmtId="164" fontId="2" fillId="7" borderId="2" xfId="1" applyNumberFormat="1" applyFont="1" applyFill="1" applyBorder="1"/>
    <xf numFmtId="164" fontId="0" fillId="8" borderId="1" xfId="1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9" borderId="1" xfId="1" applyNumberFormat="1" applyFont="1" applyFill="1" applyBorder="1"/>
    <xf numFmtId="164" fontId="2" fillId="9" borderId="7" xfId="1" applyNumberFormat="1" applyFont="1" applyFill="1" applyBorder="1"/>
    <xf numFmtId="0" fontId="3" fillId="0" borderId="0" xfId="0" applyFont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2" xfId="0" applyFont="1" applyBorder="1"/>
    <xf numFmtId="0" fontId="0" fillId="0" borderId="0" xfId="0" applyFill="1" applyBorder="1" applyAlignment="1">
      <alignment wrapText="1"/>
    </xf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0" fontId="2" fillId="0" borderId="0" xfId="0" applyFont="1" applyFill="1"/>
    <xf numFmtId="0" fontId="0" fillId="6" borderId="1" xfId="0" applyFill="1" applyBorder="1" applyAlignment="1">
      <alignment wrapText="1"/>
    </xf>
    <xf numFmtId="0" fontId="0" fillId="0" borderId="15" xfId="0" applyFill="1" applyBorder="1"/>
    <xf numFmtId="0" fontId="5" fillId="0" borderId="0" xfId="0" applyFont="1"/>
    <xf numFmtId="165" fontId="0" fillId="0" borderId="0" xfId="0" applyNumberFormat="1"/>
    <xf numFmtId="164" fontId="0" fillId="6" borderId="16" xfId="1" applyNumberFormat="1" applyFont="1" applyFill="1" applyBorder="1"/>
    <xf numFmtId="10" fontId="0" fillId="0" borderId="0" xfId="2" applyNumberFormat="1" applyFont="1"/>
    <xf numFmtId="0" fontId="0" fillId="0" borderId="15" xfId="0" applyBorder="1"/>
    <xf numFmtId="164" fontId="0" fillId="5" borderId="16" xfId="1" applyNumberFormat="1" applyFont="1" applyFill="1" applyBorder="1"/>
    <xf numFmtId="164" fontId="0" fillId="5" borderId="17" xfId="1" applyNumberFormat="1" applyFont="1" applyFill="1" applyBorder="1"/>
    <xf numFmtId="164" fontId="0" fillId="0" borderId="1" xfId="1" applyNumberFormat="1" applyFont="1" applyFill="1" applyBorder="1"/>
    <xf numFmtId="164" fontId="0" fillId="0" borderId="3" xfId="1" applyNumberFormat="1" applyFont="1" applyFill="1" applyBorder="1"/>
    <xf numFmtId="164" fontId="0" fillId="0" borderId="4" xfId="1" applyNumberFormat="1" applyFont="1" applyFill="1" applyBorder="1"/>
    <xf numFmtId="164" fontId="0" fillId="0" borderId="5" xfId="1" applyNumberFormat="1" applyFont="1" applyFill="1" applyBorder="1"/>
    <xf numFmtId="166" fontId="0" fillId="0" borderId="0" xfId="1" applyNumberFormat="1" applyFont="1"/>
    <xf numFmtId="0" fontId="6" fillId="0" borderId="0" xfId="0" applyFont="1"/>
    <xf numFmtId="0" fontId="0" fillId="8" borderId="4" xfId="0" applyFill="1" applyBorder="1"/>
    <xf numFmtId="164" fontId="0" fillId="8" borderId="4" xfId="1" applyNumberFormat="1" applyFont="1" applyFill="1" applyBorder="1"/>
    <xf numFmtId="164" fontId="0" fillId="8" borderId="5" xfId="1" applyNumberFormat="1" applyFont="1" applyFill="1" applyBorder="1"/>
    <xf numFmtId="164" fontId="0" fillId="6" borderId="4" xfId="1" applyNumberFormat="1" applyFont="1" applyFill="1" applyBorder="1"/>
    <xf numFmtId="164" fontId="0" fillId="6" borderId="5" xfId="1" applyNumberFormat="1" applyFont="1" applyFill="1" applyBorder="1"/>
    <xf numFmtId="0" fontId="7" fillId="0" borderId="0" xfId="0" applyFont="1"/>
    <xf numFmtId="0" fontId="0" fillId="0" borderId="19" xfId="0" applyBorder="1"/>
    <xf numFmtId="0" fontId="0" fillId="0" borderId="20" xfId="0" applyBorder="1"/>
    <xf numFmtId="0" fontId="2" fillId="0" borderId="28" xfId="0" applyFont="1" applyBorder="1"/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4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66" fontId="0" fillId="0" borderId="35" xfId="0" applyNumberFormat="1" applyBorder="1"/>
    <xf numFmtId="166" fontId="0" fillId="0" borderId="1" xfId="0" applyNumberFormat="1" applyBorder="1"/>
    <xf numFmtId="166" fontId="0" fillId="0" borderId="34" xfId="0" applyNumberFormat="1" applyBorder="1"/>
    <xf numFmtId="166" fontId="0" fillId="0" borderId="36" xfId="0" applyNumberFormat="1" applyBorder="1"/>
    <xf numFmtId="166" fontId="0" fillId="0" borderId="4" xfId="0" applyNumberFormat="1" applyBorder="1"/>
    <xf numFmtId="166" fontId="0" fillId="0" borderId="37" xfId="0" applyNumberFormat="1" applyBorder="1"/>
    <xf numFmtId="166" fontId="2" fillId="0" borderId="38" xfId="0" applyNumberFormat="1" applyFont="1" applyBorder="1"/>
    <xf numFmtId="166" fontId="2" fillId="0" borderId="23" xfId="0" applyNumberFormat="1" applyFont="1" applyBorder="1"/>
    <xf numFmtId="166" fontId="2" fillId="0" borderId="39" xfId="0" applyNumberFormat="1" applyFont="1" applyBorder="1"/>
    <xf numFmtId="0" fontId="2" fillId="10" borderId="42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 wrapText="1"/>
    </xf>
    <xf numFmtId="0" fontId="2" fillId="10" borderId="43" xfId="0" applyFont="1" applyFill="1" applyBorder="1" applyAlignment="1">
      <alignment horizontal="center"/>
    </xf>
    <xf numFmtId="0" fontId="0" fillId="0" borderId="42" xfId="0" applyBorder="1"/>
    <xf numFmtId="166" fontId="0" fillId="0" borderId="20" xfId="1" applyNumberFormat="1" applyFont="1" applyBorder="1"/>
    <xf numFmtId="166" fontId="0" fillId="0" borderId="20" xfId="1" applyNumberFormat="1" applyFont="1" applyFill="1" applyBorder="1"/>
    <xf numFmtId="0" fontId="0" fillId="0" borderId="20" xfId="0" applyFill="1" applyBorder="1"/>
    <xf numFmtId="166" fontId="2" fillId="0" borderId="44" xfId="1" applyNumberFormat="1" applyFont="1" applyBorder="1"/>
    <xf numFmtId="166" fontId="2" fillId="0" borderId="44" xfId="1" applyNumberFormat="1" applyFont="1" applyFill="1" applyBorder="1"/>
    <xf numFmtId="0" fontId="0" fillId="0" borderId="22" xfId="0" applyBorder="1"/>
    <xf numFmtId="0" fontId="2" fillId="0" borderId="20" xfId="0" applyFont="1" applyBorder="1"/>
    <xf numFmtId="166" fontId="2" fillId="0" borderId="21" xfId="1" applyNumberFormat="1" applyFont="1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166" fontId="0" fillId="0" borderId="45" xfId="1" applyNumberFormat="1" applyFont="1" applyBorder="1"/>
    <xf numFmtId="0" fontId="0" fillId="0" borderId="1" xfId="0" applyBorder="1" applyAlignment="1">
      <alignment horizontal="right" readingOrder="2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5" fillId="0" borderId="24" xfId="0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FF"/>
      <color rgb="FFFFFF99"/>
      <color rgb="FFCCFF99"/>
      <color rgb="FFC6AF86"/>
      <color rgb="FFAAAD9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8"/>
  <sheetViews>
    <sheetView rightToLeft="1" tabSelected="1" zoomScaleNormal="100" workbookViewId="0">
      <selection activeCell="B2" sqref="B2"/>
    </sheetView>
  </sheetViews>
  <sheetFormatPr defaultRowHeight="14.25" x14ac:dyDescent="0.2"/>
  <cols>
    <col min="2" max="2" width="28.25" bestFit="1" customWidth="1"/>
    <col min="3" max="3" width="0.75" customWidth="1"/>
    <col min="4" max="4" width="11.625" customWidth="1"/>
    <col min="5" max="5" width="11.875" customWidth="1"/>
    <col min="6" max="6" width="12" customWidth="1"/>
    <col min="7" max="7" width="11.125" bestFit="1" customWidth="1"/>
  </cols>
  <sheetData>
    <row r="2" spans="2:11" ht="25.5" x14ac:dyDescent="0.35">
      <c r="D2" s="63" t="s">
        <v>235</v>
      </c>
    </row>
    <row r="3" spans="2:11" ht="15" thickBot="1" x14ac:dyDescent="0.25"/>
    <row r="4" spans="2:11" ht="15.75" thickTop="1" x14ac:dyDescent="0.25">
      <c r="B4" s="70"/>
      <c r="C4" s="70"/>
      <c r="D4" s="90" t="s">
        <v>233</v>
      </c>
      <c r="E4" s="91" t="s">
        <v>252</v>
      </c>
      <c r="F4" s="90" t="s">
        <v>234</v>
      </c>
      <c r="G4" s="90" t="s">
        <v>234</v>
      </c>
    </row>
    <row r="5" spans="2:11" ht="15.75" thickBot="1" x14ac:dyDescent="0.3">
      <c r="B5" s="99"/>
      <c r="C5" s="99"/>
      <c r="D5" s="92">
        <v>2017</v>
      </c>
      <c r="E5" s="92" t="s">
        <v>253</v>
      </c>
      <c r="F5" s="92" t="s">
        <v>254</v>
      </c>
      <c r="G5" s="92">
        <v>2014</v>
      </c>
    </row>
    <row r="6" spans="2:11" ht="15" thickTop="1" x14ac:dyDescent="0.2">
      <c r="B6" s="71"/>
      <c r="C6" s="71"/>
      <c r="D6" s="93"/>
      <c r="E6" s="93"/>
      <c r="F6" s="93"/>
      <c r="G6" s="93"/>
    </row>
    <row r="7" spans="2:11" x14ac:dyDescent="0.2">
      <c r="B7" s="71"/>
      <c r="C7" s="71"/>
      <c r="D7" s="71"/>
      <c r="E7" s="71"/>
      <c r="F7" s="71"/>
      <c r="G7" s="71"/>
    </row>
    <row r="8" spans="2:11" x14ac:dyDescent="0.2">
      <c r="B8" s="71" t="s">
        <v>229</v>
      </c>
      <c r="C8" s="71"/>
      <c r="D8" s="94">
        <f>'דוח מסכם - תקציב 2017'!B25</f>
        <v>10367576</v>
      </c>
      <c r="E8" s="95">
        <v>21888186</v>
      </c>
      <c r="F8" s="94">
        <v>11257989</v>
      </c>
      <c r="G8" s="94">
        <v>7614228</v>
      </c>
      <c r="H8" s="62"/>
      <c r="I8" s="62"/>
      <c r="J8" s="34"/>
      <c r="K8" s="34"/>
    </row>
    <row r="9" spans="2:11" x14ac:dyDescent="0.2">
      <c r="B9" s="71"/>
      <c r="C9" s="71"/>
      <c r="D9" s="94"/>
      <c r="E9" s="95"/>
      <c r="F9" s="94"/>
      <c r="G9" s="94"/>
      <c r="H9" s="62"/>
      <c r="I9" s="62"/>
      <c r="J9" s="34"/>
      <c r="K9" s="34"/>
    </row>
    <row r="10" spans="2:11" x14ac:dyDescent="0.2">
      <c r="B10" s="96" t="s">
        <v>247</v>
      </c>
      <c r="C10" s="96"/>
      <c r="D10" s="94">
        <f>'דוח מסכם - תקציב 2017'!C25-'דוח מסכם - תקציב 2017'!C21</f>
        <v>10119551</v>
      </c>
      <c r="E10" s="95">
        <v>21949070</v>
      </c>
      <c r="F10" s="94">
        <v>12108785</v>
      </c>
      <c r="G10" s="94">
        <v>9301620</v>
      </c>
      <c r="H10" s="62"/>
      <c r="I10" s="62"/>
      <c r="J10" s="34"/>
      <c r="K10" s="34"/>
    </row>
    <row r="11" spans="2:11" x14ac:dyDescent="0.2">
      <c r="B11" s="71"/>
      <c r="C11" s="71"/>
      <c r="D11" s="94"/>
      <c r="E11" s="95"/>
      <c r="F11" s="94"/>
      <c r="G11" s="94"/>
      <c r="H11" s="62"/>
      <c r="I11" s="62"/>
      <c r="J11" s="34"/>
      <c r="K11" s="34"/>
    </row>
    <row r="12" spans="2:11" ht="15" x14ac:dyDescent="0.25">
      <c r="B12" s="100" t="s">
        <v>230</v>
      </c>
      <c r="C12" s="71"/>
      <c r="D12" s="97">
        <f t="shared" ref="D12:E12" si="0">D8-D10</f>
        <v>248025</v>
      </c>
      <c r="E12" s="98">
        <f t="shared" si="0"/>
        <v>-60884</v>
      </c>
      <c r="F12" s="97">
        <f>F8-F10</f>
        <v>-850796</v>
      </c>
      <c r="G12" s="97">
        <f>G8-G10</f>
        <v>-1687392</v>
      </c>
      <c r="H12" s="62"/>
      <c r="I12" s="62"/>
      <c r="J12" s="34"/>
      <c r="K12" s="34"/>
    </row>
    <row r="13" spans="2:11" x14ac:dyDescent="0.2">
      <c r="B13" s="71"/>
      <c r="C13" s="71"/>
      <c r="D13" s="94"/>
      <c r="E13" s="95"/>
      <c r="F13" s="94"/>
      <c r="G13" s="94"/>
      <c r="H13" s="62"/>
      <c r="I13" s="62"/>
      <c r="J13" s="34"/>
      <c r="K13" s="34"/>
    </row>
    <row r="14" spans="2:11" x14ac:dyDescent="0.2">
      <c r="B14" s="71" t="s">
        <v>231</v>
      </c>
      <c r="C14" s="71"/>
      <c r="D14" s="94">
        <f>'דוח מסכם - תקציב 2017'!C21</f>
        <v>1241986</v>
      </c>
      <c r="E14" s="95">
        <v>1142163</v>
      </c>
      <c r="F14" s="94">
        <v>935224</v>
      </c>
      <c r="G14" s="94">
        <v>553493</v>
      </c>
      <c r="H14" s="62"/>
      <c r="I14" s="62"/>
      <c r="J14" s="34"/>
      <c r="K14" s="34"/>
    </row>
    <row r="15" spans="2:11" x14ac:dyDescent="0.2">
      <c r="B15" s="71"/>
      <c r="C15" s="71"/>
      <c r="D15" s="94"/>
      <c r="E15" s="94"/>
      <c r="F15" s="94"/>
      <c r="G15" s="94"/>
      <c r="H15" s="62"/>
      <c r="I15" s="62"/>
      <c r="J15" s="34"/>
      <c r="K15" s="34"/>
    </row>
    <row r="16" spans="2:11" ht="15.75" thickBot="1" x14ac:dyDescent="0.3">
      <c r="B16" s="101" t="s">
        <v>232</v>
      </c>
      <c r="C16" s="101"/>
      <c r="D16" s="101">
        <f t="shared" ref="D16:E16" si="1">D12-D14</f>
        <v>-993961</v>
      </c>
      <c r="E16" s="101">
        <f t="shared" si="1"/>
        <v>-1203047</v>
      </c>
      <c r="F16" s="101">
        <f>F12-F14</f>
        <v>-1786020</v>
      </c>
      <c r="G16" s="101">
        <f>G12-G14</f>
        <v>-2240885</v>
      </c>
      <c r="H16" s="62"/>
      <c r="I16" s="62"/>
      <c r="J16" s="34"/>
      <c r="K16" s="34"/>
    </row>
    <row r="17" spans="2:11" ht="15" thickTop="1" x14ac:dyDescent="0.2">
      <c r="D17" s="62"/>
      <c r="E17" s="62"/>
      <c r="F17" s="62"/>
      <c r="G17" s="62"/>
      <c r="H17" s="62"/>
      <c r="I17" s="62"/>
      <c r="J17" s="34"/>
      <c r="K17" s="34"/>
    </row>
    <row r="18" spans="2:11" x14ac:dyDescent="0.2">
      <c r="B18" s="105" t="s">
        <v>255</v>
      </c>
      <c r="C18" s="7"/>
      <c r="D18" s="102"/>
      <c r="E18" s="102"/>
      <c r="F18" s="102"/>
      <c r="G18" s="62"/>
      <c r="H18" s="62"/>
      <c r="I18" s="62"/>
      <c r="J18" s="34"/>
      <c r="K18" s="34"/>
    </row>
    <row r="19" spans="2:11" x14ac:dyDescent="0.2">
      <c r="B19" s="7" t="s">
        <v>256</v>
      </c>
      <c r="C19" s="7"/>
      <c r="D19" s="102"/>
      <c r="E19" s="102">
        <f>E8-11625528</f>
        <v>10262658</v>
      </c>
      <c r="F19" s="102">
        <f>F8-2402671</f>
        <v>8855318</v>
      </c>
      <c r="G19" s="62"/>
      <c r="H19" s="62"/>
      <c r="I19" s="62"/>
      <c r="J19" s="34"/>
      <c r="K19" s="34"/>
    </row>
    <row r="20" spans="2:11" ht="15" thickBot="1" x14ac:dyDescent="0.25">
      <c r="B20" s="7" t="s">
        <v>257</v>
      </c>
      <c r="C20" s="7"/>
      <c r="D20" s="102"/>
      <c r="E20" s="103">
        <f>E10-11475269</f>
        <v>10473801</v>
      </c>
      <c r="F20" s="103">
        <f>F10-2462041</f>
        <v>9646744</v>
      </c>
      <c r="G20" s="62"/>
      <c r="H20" s="62"/>
      <c r="I20" s="62"/>
      <c r="J20" s="34"/>
      <c r="K20" s="34"/>
    </row>
    <row r="21" spans="2:11" x14ac:dyDescent="0.2">
      <c r="B21" s="7" t="s">
        <v>258</v>
      </c>
      <c r="C21" s="7"/>
      <c r="D21" s="102"/>
      <c r="E21" s="104">
        <f>E19-E20</f>
        <v>-211143</v>
      </c>
      <c r="F21" s="104">
        <f>F19-F20</f>
        <v>-791426</v>
      </c>
      <c r="G21" s="62"/>
      <c r="H21" s="62"/>
      <c r="I21" s="62"/>
      <c r="J21" s="34"/>
      <c r="K21" s="34"/>
    </row>
    <row r="22" spans="2:11" x14ac:dyDescent="0.2">
      <c r="D22" s="62"/>
      <c r="E22" s="62"/>
      <c r="F22" s="62"/>
      <c r="G22" s="62"/>
      <c r="H22" s="62"/>
      <c r="I22" s="62"/>
      <c r="J22" s="34"/>
      <c r="K22" s="34"/>
    </row>
    <row r="23" spans="2:11" x14ac:dyDescent="0.2">
      <c r="D23" s="62"/>
      <c r="E23" s="62"/>
      <c r="F23" s="62"/>
      <c r="G23" s="62"/>
      <c r="H23" s="62"/>
      <c r="I23" s="62"/>
      <c r="J23" s="34"/>
      <c r="K23" s="34"/>
    </row>
    <row r="24" spans="2:11" x14ac:dyDescent="0.2">
      <c r="D24" s="62"/>
      <c r="E24" s="62"/>
      <c r="F24" s="62"/>
      <c r="G24" s="62"/>
      <c r="H24" s="62"/>
      <c r="I24" s="62"/>
      <c r="J24" s="34"/>
      <c r="K24" s="34"/>
    </row>
    <row r="25" spans="2:11" x14ac:dyDescent="0.2">
      <c r="D25" s="62"/>
      <c r="E25" s="62"/>
      <c r="F25" s="62"/>
      <c r="G25" s="62"/>
      <c r="H25" s="62"/>
      <c r="I25" s="62"/>
      <c r="J25" s="34"/>
      <c r="K25" s="34"/>
    </row>
    <row r="26" spans="2:11" x14ac:dyDescent="0.2">
      <c r="D26" s="62"/>
      <c r="E26" s="62"/>
      <c r="F26" s="62"/>
      <c r="G26" s="62"/>
      <c r="H26" s="62"/>
      <c r="I26" s="62"/>
      <c r="J26" s="34"/>
      <c r="K26" s="34"/>
    </row>
    <row r="27" spans="2:11" x14ac:dyDescent="0.2">
      <c r="D27" s="34"/>
      <c r="E27" s="34"/>
      <c r="F27" s="34"/>
      <c r="G27" s="34"/>
      <c r="H27" s="34"/>
      <c r="I27" s="34"/>
      <c r="J27" s="34"/>
      <c r="K27" s="34"/>
    </row>
    <row r="28" spans="2:11" x14ac:dyDescent="0.2">
      <c r="D28" s="34"/>
      <c r="E28" s="34"/>
      <c r="F28" s="34"/>
      <c r="G28" s="34"/>
      <c r="H28" s="34"/>
      <c r="I28" s="34"/>
      <c r="J28" s="34"/>
      <c r="K28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rightToLeft="1" zoomScaleNormal="100" workbookViewId="0">
      <selection activeCell="F3" sqref="F3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  <col min="19" max="19" width="9.375" bestFit="1" customWidth="1"/>
  </cols>
  <sheetData>
    <row r="1" spans="1:19" ht="21.75" customHeight="1" thickBot="1" x14ac:dyDescent="0.3">
      <c r="A1" s="13" t="s">
        <v>236</v>
      </c>
      <c r="R1" t="s">
        <v>206</v>
      </c>
      <c r="S1" t="s">
        <v>205</v>
      </c>
    </row>
    <row r="2" spans="1:19" x14ac:dyDescent="0.25">
      <c r="A2" s="7"/>
      <c r="B2" s="11" t="s">
        <v>67</v>
      </c>
      <c r="C2" s="11" t="s">
        <v>68</v>
      </c>
      <c r="D2" s="11" t="s">
        <v>69</v>
      </c>
      <c r="E2" s="11" t="s">
        <v>70</v>
      </c>
      <c r="F2" s="11" t="s">
        <v>71</v>
      </c>
      <c r="G2" s="11" t="s">
        <v>72</v>
      </c>
      <c r="H2" s="11" t="s">
        <v>73</v>
      </c>
      <c r="I2" s="11" t="s">
        <v>74</v>
      </c>
      <c r="J2" s="11" t="s">
        <v>75</v>
      </c>
      <c r="K2" s="11" t="s">
        <v>76</v>
      </c>
      <c r="L2" s="11" t="s">
        <v>77</v>
      </c>
      <c r="M2" s="12" t="s">
        <v>78</v>
      </c>
      <c r="N2" s="8" t="s">
        <v>119</v>
      </c>
      <c r="O2" s="8" t="s">
        <v>120</v>
      </c>
      <c r="P2" s="8" t="s">
        <v>238</v>
      </c>
    </row>
    <row r="3" spans="1:19" x14ac:dyDescent="0.25">
      <c r="A3" s="21" t="s">
        <v>193</v>
      </c>
      <c r="B3" s="23">
        <v>154000</v>
      </c>
      <c r="C3" s="23">
        <v>91000</v>
      </c>
      <c r="D3" s="23">
        <v>211000</v>
      </c>
      <c r="E3" s="23">
        <v>143000</v>
      </c>
      <c r="F3" s="23">
        <f t="shared" ref="F3" si="0">ROUND(F14*1.05,-2)</f>
        <v>147000</v>
      </c>
      <c r="G3" s="23">
        <f>ROUND(G14*1.05,-2)</f>
        <v>147000</v>
      </c>
      <c r="H3" s="23">
        <f t="shared" ref="H3:M3" si="1">ROUND(H14*1.05,-2)</f>
        <v>147000</v>
      </c>
      <c r="I3" s="23">
        <f t="shared" si="1"/>
        <v>147000</v>
      </c>
      <c r="J3" s="23">
        <f t="shared" si="1"/>
        <v>147000</v>
      </c>
      <c r="K3" s="23">
        <f t="shared" si="1"/>
        <v>147000</v>
      </c>
      <c r="L3" s="23">
        <f t="shared" si="1"/>
        <v>147000</v>
      </c>
      <c r="M3" s="23">
        <f t="shared" si="1"/>
        <v>147000</v>
      </c>
      <c r="N3" s="9">
        <f>SUM(B3:M3)</f>
        <v>1775000</v>
      </c>
      <c r="O3" s="9">
        <v>1927259</v>
      </c>
      <c r="P3" s="9">
        <f>N3-O3</f>
        <v>-152259</v>
      </c>
      <c r="R3" s="52">
        <f>N3/N14</f>
        <v>1.0590692124105012</v>
      </c>
      <c r="S3" s="52">
        <f>O3/O14</f>
        <v>1.0288448911129784</v>
      </c>
    </row>
    <row r="4" spans="1:19" x14ac:dyDescent="0.25">
      <c r="A4" s="21" t="s">
        <v>195</v>
      </c>
      <c r="B4" s="23">
        <f t="shared" ref="B4:E4" si="2">ROUND(B15*1.05,-2)</f>
        <v>1100</v>
      </c>
      <c r="C4" s="23">
        <f t="shared" si="2"/>
        <v>900</v>
      </c>
      <c r="D4" s="23">
        <f t="shared" si="2"/>
        <v>900</v>
      </c>
      <c r="E4" s="23">
        <f t="shared" si="2"/>
        <v>1300</v>
      </c>
      <c r="F4" s="23">
        <f>ROUND(F15*1.05,-2)</f>
        <v>1100</v>
      </c>
      <c r="G4" s="23">
        <f t="shared" ref="G4:M4" si="3">ROUND(G15*1.05,-2)</f>
        <v>1100</v>
      </c>
      <c r="H4" s="23">
        <f t="shared" si="3"/>
        <v>1100</v>
      </c>
      <c r="I4" s="23">
        <f t="shared" si="3"/>
        <v>1100</v>
      </c>
      <c r="J4" s="23">
        <f t="shared" si="3"/>
        <v>1100</v>
      </c>
      <c r="K4" s="23">
        <f t="shared" si="3"/>
        <v>1100</v>
      </c>
      <c r="L4" s="23">
        <f t="shared" si="3"/>
        <v>1100</v>
      </c>
      <c r="M4" s="23">
        <f t="shared" si="3"/>
        <v>1100</v>
      </c>
      <c r="N4" s="9">
        <f>SUM(B4:M4)</f>
        <v>13000</v>
      </c>
      <c r="O4" s="9">
        <v>11331</v>
      </c>
      <c r="P4" s="9">
        <f t="shared" ref="P4:P8" si="4">N4-O4</f>
        <v>1669</v>
      </c>
      <c r="R4" s="52">
        <f t="shared" ref="R4:R7" si="5">N4/N15</f>
        <v>1.0833333333333333</v>
      </c>
      <c r="S4" s="52">
        <f>O4/O15</f>
        <v>0.94314965873147993</v>
      </c>
    </row>
    <row r="5" spans="1:19" x14ac:dyDescent="0.25">
      <c r="A5" s="21" t="s">
        <v>197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4">
        <v>0</v>
      </c>
      <c r="N5" s="9">
        <f t="shared" ref="N5:N8" si="6">SUM(B5:M5)</f>
        <v>0</v>
      </c>
      <c r="O5" s="9">
        <v>11625528</v>
      </c>
      <c r="P5" s="9">
        <f t="shared" si="4"/>
        <v>-11625528</v>
      </c>
      <c r="R5" s="52" t="e">
        <f t="shared" si="5"/>
        <v>#DIV/0!</v>
      </c>
      <c r="S5" s="52">
        <f>O5/O16</f>
        <v>1.0130941592741747</v>
      </c>
    </row>
    <row r="6" spans="1:19" x14ac:dyDescent="0.25">
      <c r="A6" s="21" t="s">
        <v>199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4">
        <v>0</v>
      </c>
      <c r="N6" s="9">
        <f t="shared" si="6"/>
        <v>0</v>
      </c>
      <c r="O6" s="9">
        <f>88551+10436</f>
        <v>98987</v>
      </c>
      <c r="P6" s="9">
        <f t="shared" si="4"/>
        <v>-98987</v>
      </c>
      <c r="R6" s="52" t="e">
        <f t="shared" si="5"/>
        <v>#DIV/0!</v>
      </c>
      <c r="S6" s="52">
        <f>O6/O17</f>
        <v>1.0838506936460488</v>
      </c>
    </row>
    <row r="7" spans="1:19" x14ac:dyDescent="0.25">
      <c r="A7" s="21" t="s">
        <v>201</v>
      </c>
      <c r="B7" s="23">
        <f t="shared" ref="B7:E7" si="7">ROUND(B18*1.05,-2)</f>
        <v>8700</v>
      </c>
      <c r="C7" s="23">
        <f t="shared" si="7"/>
        <v>2400</v>
      </c>
      <c r="D7" s="23">
        <f t="shared" si="7"/>
        <v>0</v>
      </c>
      <c r="E7" s="23">
        <f t="shared" si="7"/>
        <v>0</v>
      </c>
      <c r="F7" s="23">
        <f>ROUND(F18*1.05,-2)</f>
        <v>3700</v>
      </c>
      <c r="G7" s="23">
        <f t="shared" ref="G7:M7" si="8">ROUND(G18*1.05,-2)</f>
        <v>3700</v>
      </c>
      <c r="H7" s="23">
        <f t="shared" si="8"/>
        <v>3700</v>
      </c>
      <c r="I7" s="23">
        <f t="shared" si="8"/>
        <v>3700</v>
      </c>
      <c r="J7" s="23">
        <f t="shared" si="8"/>
        <v>3700</v>
      </c>
      <c r="K7" s="23">
        <f t="shared" si="8"/>
        <v>3700</v>
      </c>
      <c r="L7" s="23">
        <f t="shared" si="8"/>
        <v>3700</v>
      </c>
      <c r="M7" s="23">
        <f t="shared" si="8"/>
        <v>3700</v>
      </c>
      <c r="N7" s="9">
        <f t="shared" si="6"/>
        <v>40700</v>
      </c>
      <c r="O7" s="9">
        <f>36870</f>
        <v>36870</v>
      </c>
      <c r="P7" s="9">
        <f t="shared" si="4"/>
        <v>3830</v>
      </c>
      <c r="R7" s="52">
        <f t="shared" si="5"/>
        <v>1.0544860999559551</v>
      </c>
      <c r="S7" s="52">
        <f>O7/O18</f>
        <v>1.017664918575766</v>
      </c>
    </row>
    <row r="8" spans="1:19" ht="15.75" thickBot="1" x14ac:dyDescent="0.3">
      <c r="A8" s="50" t="s">
        <v>203</v>
      </c>
      <c r="B8" s="53">
        <f>ROUND(B19*1.05,-2)</f>
        <v>5600</v>
      </c>
      <c r="C8" s="53">
        <f>ROUND(C19*1.05,-2)</f>
        <v>3800</v>
      </c>
      <c r="D8" s="53">
        <f>ROUND(D19*1.05,-2)</f>
        <v>4100</v>
      </c>
      <c r="E8" s="53">
        <f>ROUND(E19*1.05,-2)</f>
        <v>3900</v>
      </c>
      <c r="F8" s="53">
        <f>ROUND(F19*1.05,-2)</f>
        <v>3800</v>
      </c>
      <c r="G8" s="53">
        <f t="shared" ref="G8:M8" si="9">ROUND(G19*1.05,-2)</f>
        <v>4200</v>
      </c>
      <c r="H8" s="53">
        <f t="shared" si="9"/>
        <v>4200</v>
      </c>
      <c r="I8" s="53">
        <f t="shared" si="9"/>
        <v>4200</v>
      </c>
      <c r="J8" s="53">
        <f t="shared" si="9"/>
        <v>4200</v>
      </c>
      <c r="K8" s="53">
        <f t="shared" si="9"/>
        <v>4200</v>
      </c>
      <c r="L8" s="53">
        <f t="shared" si="9"/>
        <v>4200</v>
      </c>
      <c r="M8" s="53">
        <f t="shared" si="9"/>
        <v>4200</v>
      </c>
      <c r="N8" s="9">
        <f t="shared" si="6"/>
        <v>50600</v>
      </c>
      <c r="O8" s="9">
        <v>26259</v>
      </c>
      <c r="P8" s="9">
        <f t="shared" si="4"/>
        <v>24341</v>
      </c>
      <c r="R8" s="52">
        <f t="shared" ref="R8" si="10">N8/N19</f>
        <v>1.0519750519750519</v>
      </c>
      <c r="S8" s="52">
        <f>O8/O19</f>
        <v>1.0209167606236149</v>
      </c>
    </row>
    <row r="9" spans="1:19" s="1" customFormat="1" ht="15.75" thickBot="1" x14ac:dyDescent="0.3">
      <c r="A9" s="10" t="s">
        <v>0</v>
      </c>
      <c r="B9" s="14">
        <f>SUM(B3:B8)</f>
        <v>169400</v>
      </c>
      <c r="C9" s="14">
        <f>SUM(C3:C8)</f>
        <v>98100</v>
      </c>
      <c r="D9" s="14">
        <f t="shared" ref="D9:M9" si="11">SUM(D3:D8)</f>
        <v>216000</v>
      </c>
      <c r="E9" s="14">
        <f t="shared" si="11"/>
        <v>148200</v>
      </c>
      <c r="F9" s="14">
        <f t="shared" si="11"/>
        <v>155600</v>
      </c>
      <c r="G9" s="14">
        <f t="shared" si="11"/>
        <v>156000</v>
      </c>
      <c r="H9" s="14">
        <f t="shared" si="11"/>
        <v>156000</v>
      </c>
      <c r="I9" s="14">
        <f t="shared" si="11"/>
        <v>156000</v>
      </c>
      <c r="J9" s="14">
        <f t="shared" si="11"/>
        <v>156000</v>
      </c>
      <c r="K9" s="14">
        <f t="shared" si="11"/>
        <v>156000</v>
      </c>
      <c r="L9" s="14">
        <f t="shared" si="11"/>
        <v>156000</v>
      </c>
      <c r="M9" s="14">
        <f t="shared" si="11"/>
        <v>156000</v>
      </c>
      <c r="N9" s="16">
        <f>SUM(N3:N8)</f>
        <v>1879300</v>
      </c>
      <c r="O9" s="16">
        <f>SUM(O3:O8)</f>
        <v>13726234</v>
      </c>
      <c r="P9" s="16">
        <f>SUM(P3:P8)</f>
        <v>-11846934</v>
      </c>
    </row>
    <row r="12" spans="1:19" ht="21.75" customHeight="1" thickBot="1" x14ac:dyDescent="0.3">
      <c r="A12" s="13" t="s">
        <v>237</v>
      </c>
    </row>
    <row r="13" spans="1:19" x14ac:dyDescent="0.25">
      <c r="B13" s="11" t="s">
        <v>67</v>
      </c>
      <c r="C13" s="11" t="s">
        <v>68</v>
      </c>
      <c r="D13" s="11" t="s">
        <v>69</v>
      </c>
      <c r="E13" s="11" t="s">
        <v>70</v>
      </c>
      <c r="F13" s="11" t="s">
        <v>71</v>
      </c>
      <c r="G13" s="11" t="s">
        <v>72</v>
      </c>
      <c r="H13" s="11" t="s">
        <v>73</v>
      </c>
      <c r="I13" s="11" t="s">
        <v>74</v>
      </c>
      <c r="J13" s="11" t="s">
        <v>75</v>
      </c>
      <c r="K13" s="11" t="s">
        <v>76</v>
      </c>
      <c r="L13" s="11" t="s">
        <v>77</v>
      </c>
      <c r="M13" s="12" t="s">
        <v>78</v>
      </c>
      <c r="N13" s="8" t="s">
        <v>119</v>
      </c>
      <c r="O13" s="8" t="s">
        <v>120</v>
      </c>
      <c r="P13" s="8" t="s">
        <v>238</v>
      </c>
    </row>
    <row r="14" spans="1:19" x14ac:dyDescent="0.25">
      <c r="A14" s="7" t="s">
        <v>194</v>
      </c>
      <c r="B14" s="23">
        <v>142000</v>
      </c>
      <c r="C14" s="23">
        <v>136000</v>
      </c>
      <c r="D14" s="23">
        <v>142000</v>
      </c>
      <c r="E14" s="23">
        <v>136000</v>
      </c>
      <c r="F14" s="23">
        <v>140000</v>
      </c>
      <c r="G14" s="23">
        <v>140000</v>
      </c>
      <c r="H14" s="23">
        <v>140000</v>
      </c>
      <c r="I14" s="23">
        <v>140000</v>
      </c>
      <c r="J14" s="23">
        <v>140000</v>
      </c>
      <c r="K14" s="23">
        <v>140000</v>
      </c>
      <c r="L14" s="23">
        <v>140000</v>
      </c>
      <c r="M14" s="23">
        <v>140000</v>
      </c>
      <c r="N14" s="9">
        <f>SUM(B14:M14)</f>
        <v>1676000</v>
      </c>
      <c r="O14" s="9">
        <f>1827432+5787+3146+3100+33761</f>
        <v>1873226</v>
      </c>
      <c r="P14" s="9">
        <f>N14-O14</f>
        <v>-197226</v>
      </c>
    </row>
    <row r="15" spans="1:19" x14ac:dyDescent="0.25">
      <c r="A15" s="21" t="s">
        <v>196</v>
      </c>
      <c r="B15" s="23">
        <v>1000</v>
      </c>
      <c r="C15" s="23">
        <v>900</v>
      </c>
      <c r="D15" s="23">
        <v>900</v>
      </c>
      <c r="E15" s="23">
        <v>1200</v>
      </c>
      <c r="F15" s="23">
        <v>1000</v>
      </c>
      <c r="G15" s="23">
        <v>1000</v>
      </c>
      <c r="H15" s="23">
        <v>1000</v>
      </c>
      <c r="I15" s="23">
        <v>1000</v>
      </c>
      <c r="J15" s="23">
        <v>1000</v>
      </c>
      <c r="K15" s="23">
        <v>1000</v>
      </c>
      <c r="L15" s="23">
        <v>1000</v>
      </c>
      <c r="M15" s="23">
        <v>1000</v>
      </c>
      <c r="N15" s="9">
        <f t="shared" ref="N15:N22" si="12">SUM(B15:M15)</f>
        <v>12000</v>
      </c>
      <c r="O15" s="9">
        <f>9526+333+932+185-185+1223</f>
        <v>12014</v>
      </c>
      <c r="P15" s="9">
        <f t="shared" ref="P15:P22" si="13">N15-O15</f>
        <v>-14</v>
      </c>
    </row>
    <row r="16" spans="1:19" x14ac:dyDescent="0.25">
      <c r="A16" s="21" t="s">
        <v>198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9">
        <f t="shared" ref="N16" si="14">SUM(B16:M16)</f>
        <v>0</v>
      </c>
      <c r="O16" s="9">
        <v>11475269</v>
      </c>
      <c r="P16" s="9">
        <f t="shared" si="13"/>
        <v>-11475269</v>
      </c>
    </row>
    <row r="17" spans="1:20" x14ac:dyDescent="0.25">
      <c r="A17" s="21" t="s">
        <v>200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  <c r="N17" s="9">
        <f t="shared" si="12"/>
        <v>0</v>
      </c>
      <c r="O17" s="9">
        <f>2232+2220+61103+2968+23268-462</f>
        <v>91329</v>
      </c>
      <c r="P17" s="9">
        <f t="shared" si="13"/>
        <v>-91329</v>
      </c>
    </row>
    <row r="18" spans="1:20" x14ac:dyDescent="0.25">
      <c r="A18" s="21" t="s">
        <v>202</v>
      </c>
      <c r="B18" s="23">
        <v>8294</v>
      </c>
      <c r="C18" s="23">
        <v>2303</v>
      </c>
      <c r="D18" s="23">
        <v>0</v>
      </c>
      <c r="E18" s="23">
        <v>0</v>
      </c>
      <c r="F18" s="23">
        <v>3500</v>
      </c>
      <c r="G18" s="23">
        <v>3500</v>
      </c>
      <c r="H18" s="23">
        <v>3500</v>
      </c>
      <c r="I18" s="23">
        <v>3500</v>
      </c>
      <c r="J18" s="23">
        <v>3500</v>
      </c>
      <c r="K18" s="23">
        <v>3500</v>
      </c>
      <c r="L18" s="23">
        <v>3500</v>
      </c>
      <c r="M18" s="23">
        <v>3500</v>
      </c>
      <c r="N18" s="9">
        <f>SUM(B18:M18)</f>
        <v>38597</v>
      </c>
      <c r="O18" s="9">
        <f>32646+1134+231+1334-231+1116</f>
        <v>36230</v>
      </c>
      <c r="P18" s="9">
        <f t="shared" si="13"/>
        <v>2367</v>
      </c>
    </row>
    <row r="19" spans="1:20" x14ac:dyDescent="0.25">
      <c r="A19" s="21" t="s">
        <v>204</v>
      </c>
      <c r="B19" s="23">
        <v>5300</v>
      </c>
      <c r="C19" s="23">
        <v>3600</v>
      </c>
      <c r="D19" s="23">
        <v>3900</v>
      </c>
      <c r="E19" s="23">
        <v>3700</v>
      </c>
      <c r="F19" s="23">
        <v>3600</v>
      </c>
      <c r="G19" s="23">
        <v>4000</v>
      </c>
      <c r="H19" s="23">
        <v>4000</v>
      </c>
      <c r="I19" s="23">
        <v>4000</v>
      </c>
      <c r="J19" s="23">
        <v>4000</v>
      </c>
      <c r="K19" s="23">
        <v>4000</v>
      </c>
      <c r="L19" s="23">
        <v>4000</v>
      </c>
      <c r="M19" s="23">
        <v>4000</v>
      </c>
      <c r="N19" s="9">
        <f t="shared" si="12"/>
        <v>48100</v>
      </c>
      <c r="O19" s="9">
        <f>19240+682+3851+1236+504-504+712</f>
        <v>25721</v>
      </c>
      <c r="P19" s="9">
        <f t="shared" si="13"/>
        <v>22379</v>
      </c>
    </row>
    <row r="20" spans="1:20" x14ac:dyDescent="0.25">
      <c r="A20" s="21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  <c r="N20" s="9">
        <f>SUM(B20:M20)</f>
        <v>0</v>
      </c>
      <c r="O20" s="9"/>
      <c r="P20" s="9">
        <f t="shared" si="13"/>
        <v>0</v>
      </c>
      <c r="Q20" s="28"/>
      <c r="R20" s="28"/>
      <c r="S20" s="28"/>
      <c r="T20" s="28"/>
    </row>
    <row r="21" spans="1:20" x14ac:dyDescent="0.25">
      <c r="A21" s="21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  <c r="N21" s="9">
        <f t="shared" si="12"/>
        <v>0</v>
      </c>
      <c r="O21" s="9"/>
      <c r="P21" s="9">
        <f t="shared" si="13"/>
        <v>0</v>
      </c>
    </row>
    <row r="22" spans="1:20" ht="15.75" thickBot="1" x14ac:dyDescent="0.3">
      <c r="A22" s="25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  <c r="N22" s="9">
        <f t="shared" si="12"/>
        <v>0</v>
      </c>
      <c r="O22" s="9"/>
      <c r="P22" s="9">
        <f t="shared" si="13"/>
        <v>0</v>
      </c>
    </row>
    <row r="23" spans="1:20" s="1" customFormat="1" ht="15.75" thickBot="1" x14ac:dyDescent="0.3">
      <c r="A23" s="10" t="s">
        <v>1</v>
      </c>
      <c r="B23" s="14">
        <f t="shared" ref="B23:P23" si="15">SUM(B14:B22)</f>
        <v>156594</v>
      </c>
      <c r="C23" s="14">
        <f t="shared" si="15"/>
        <v>142803</v>
      </c>
      <c r="D23" s="14">
        <f t="shared" si="15"/>
        <v>146800</v>
      </c>
      <c r="E23" s="14">
        <f t="shared" si="15"/>
        <v>140900</v>
      </c>
      <c r="F23" s="14">
        <f t="shared" si="15"/>
        <v>148100</v>
      </c>
      <c r="G23" s="14">
        <f t="shared" si="15"/>
        <v>148500</v>
      </c>
      <c r="H23" s="14">
        <f t="shared" si="15"/>
        <v>148500</v>
      </c>
      <c r="I23" s="14">
        <f t="shared" si="15"/>
        <v>148500</v>
      </c>
      <c r="J23" s="14">
        <f t="shared" si="15"/>
        <v>148500</v>
      </c>
      <c r="K23" s="14">
        <f t="shared" si="15"/>
        <v>148500</v>
      </c>
      <c r="L23" s="14">
        <f t="shared" si="15"/>
        <v>148500</v>
      </c>
      <c r="M23" s="15">
        <f t="shared" si="15"/>
        <v>148500</v>
      </c>
      <c r="N23" s="16">
        <f t="shared" si="15"/>
        <v>1774697</v>
      </c>
      <c r="O23" s="16">
        <f t="shared" si="15"/>
        <v>13513789</v>
      </c>
      <c r="P23" s="16">
        <f t="shared" si="15"/>
        <v>-11739092</v>
      </c>
    </row>
    <row r="24" spans="1:20" ht="15.75" thickBot="1" x14ac:dyDescent="0.3"/>
    <row r="25" spans="1:20" s="1" customFormat="1" ht="15.75" thickBot="1" x14ac:dyDescent="0.3">
      <c r="A25" s="29" t="s">
        <v>121</v>
      </c>
      <c r="B25" s="30">
        <f t="shared" ref="B25:P25" si="16">B9-B23</f>
        <v>12806</v>
      </c>
      <c r="C25" s="30">
        <f t="shared" si="16"/>
        <v>-44703</v>
      </c>
      <c r="D25" s="30">
        <f t="shared" si="16"/>
        <v>69200</v>
      </c>
      <c r="E25" s="30">
        <f t="shared" si="16"/>
        <v>7300</v>
      </c>
      <c r="F25" s="30">
        <f t="shared" si="16"/>
        <v>7500</v>
      </c>
      <c r="G25" s="30">
        <f t="shared" si="16"/>
        <v>7500</v>
      </c>
      <c r="H25" s="30">
        <f t="shared" si="16"/>
        <v>7500</v>
      </c>
      <c r="I25" s="30">
        <f t="shared" si="16"/>
        <v>7500</v>
      </c>
      <c r="J25" s="30">
        <f t="shared" si="16"/>
        <v>7500</v>
      </c>
      <c r="K25" s="30">
        <f t="shared" si="16"/>
        <v>7500</v>
      </c>
      <c r="L25" s="30">
        <f t="shared" si="16"/>
        <v>7500</v>
      </c>
      <c r="M25" s="31">
        <f t="shared" si="16"/>
        <v>7500</v>
      </c>
      <c r="N25" s="32">
        <f t="shared" si="16"/>
        <v>104603</v>
      </c>
      <c r="O25" s="32">
        <f t="shared" si="16"/>
        <v>212445</v>
      </c>
      <c r="P25" s="32">
        <f t="shared" si="16"/>
        <v>-107842</v>
      </c>
    </row>
    <row r="27" spans="1:20" x14ac:dyDescent="0.25">
      <c r="N27" s="17"/>
      <c r="O27" s="17"/>
      <c r="P27" s="17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rightToLeft="1" topLeftCell="A13" workbookViewId="0">
      <selection activeCell="E24" sqref="E24"/>
    </sheetView>
  </sheetViews>
  <sheetFormatPr defaultRowHeight="14.25" x14ac:dyDescent="0.2"/>
  <cols>
    <col min="1" max="1" width="13.125" style="3" customWidth="1"/>
    <col min="2" max="2" width="16.625" style="3" customWidth="1"/>
    <col min="3" max="4" width="12.125" style="3" customWidth="1"/>
    <col min="5" max="5" width="14.375" style="3" bestFit="1" customWidth="1"/>
    <col min="6" max="6" width="13.25" style="3" bestFit="1" customWidth="1"/>
    <col min="7" max="16384" width="9" style="3"/>
  </cols>
  <sheetData>
    <row r="1" spans="1:2" x14ac:dyDescent="0.2">
      <c r="A1" s="3" t="s">
        <v>2</v>
      </c>
    </row>
    <row r="2" spans="1:2" ht="15" x14ac:dyDescent="0.2">
      <c r="A2" s="4" t="s">
        <v>59</v>
      </c>
      <c r="B2" s="4" t="s">
        <v>60</v>
      </c>
    </row>
    <row r="3" spans="1:2" x14ac:dyDescent="0.2">
      <c r="A3" s="114" t="s">
        <v>46</v>
      </c>
      <c r="B3" s="3" t="s">
        <v>47</v>
      </c>
    </row>
    <row r="4" spans="1:2" x14ac:dyDescent="0.2">
      <c r="A4" s="114"/>
      <c r="B4" s="3" t="s">
        <v>48</v>
      </c>
    </row>
    <row r="5" spans="1:2" x14ac:dyDescent="0.2">
      <c r="A5" s="114" t="s">
        <v>27</v>
      </c>
      <c r="B5" s="3" t="s">
        <v>28</v>
      </c>
    </row>
    <row r="6" spans="1:2" x14ac:dyDescent="0.2">
      <c r="A6" s="114"/>
      <c r="B6" s="3" t="s">
        <v>54</v>
      </c>
    </row>
    <row r="7" spans="1:2" x14ac:dyDescent="0.2">
      <c r="A7" s="114"/>
      <c r="B7" s="3" t="s">
        <v>57</v>
      </c>
    </row>
    <row r="8" spans="1:2" x14ac:dyDescent="0.2">
      <c r="A8" s="3" t="s">
        <v>21</v>
      </c>
      <c r="B8" s="3" t="s">
        <v>29</v>
      </c>
    </row>
    <row r="9" spans="1:2" x14ac:dyDescent="0.2">
      <c r="A9" s="114" t="s">
        <v>30</v>
      </c>
      <c r="B9" s="3" t="s">
        <v>45</v>
      </c>
    </row>
    <row r="10" spans="1:2" x14ac:dyDescent="0.2">
      <c r="A10" s="114"/>
      <c r="B10" s="3" t="s">
        <v>51</v>
      </c>
    </row>
    <row r="11" spans="1:2" x14ac:dyDescent="0.2">
      <c r="A11" s="114"/>
      <c r="B11" s="3" t="s">
        <v>49</v>
      </c>
    </row>
    <row r="12" spans="1:2" x14ac:dyDescent="0.2">
      <c r="A12" s="114" t="s">
        <v>14</v>
      </c>
      <c r="B12" s="3" t="s">
        <v>31</v>
      </c>
    </row>
    <row r="13" spans="1:2" x14ac:dyDescent="0.2">
      <c r="A13" s="114"/>
      <c r="B13" s="3" t="s">
        <v>32</v>
      </c>
    </row>
    <row r="14" spans="1:2" x14ac:dyDescent="0.2">
      <c r="A14" s="114"/>
      <c r="B14" s="3" t="s">
        <v>40</v>
      </c>
    </row>
    <row r="15" spans="1:2" x14ac:dyDescent="0.2">
      <c r="A15" s="114"/>
      <c r="B15" s="3" t="s">
        <v>58</v>
      </c>
    </row>
    <row r="16" spans="1:2" x14ac:dyDescent="0.2">
      <c r="A16" s="114" t="s">
        <v>33</v>
      </c>
      <c r="B16" s="3" t="s">
        <v>34</v>
      </c>
    </row>
    <row r="17" spans="1:6" x14ac:dyDescent="0.2">
      <c r="A17" s="114"/>
      <c r="B17" s="3" t="s">
        <v>44</v>
      </c>
    </row>
    <row r="18" spans="1:6" x14ac:dyDescent="0.2">
      <c r="A18" s="114"/>
      <c r="B18" s="3" t="s">
        <v>50</v>
      </c>
    </row>
    <row r="19" spans="1:6" x14ac:dyDescent="0.2">
      <c r="A19" s="114" t="s">
        <v>35</v>
      </c>
      <c r="B19" s="3" t="s">
        <v>36</v>
      </c>
    </row>
    <row r="20" spans="1:6" x14ac:dyDescent="0.2">
      <c r="A20" s="114"/>
      <c r="B20" s="3" t="s">
        <v>37</v>
      </c>
    </row>
    <row r="21" spans="1:6" x14ac:dyDescent="0.2">
      <c r="A21" s="114"/>
      <c r="B21" s="3" t="s">
        <v>43</v>
      </c>
    </row>
    <row r="22" spans="1:6" x14ac:dyDescent="0.2">
      <c r="A22" s="114" t="s">
        <v>38</v>
      </c>
      <c r="B22" s="3" t="s">
        <v>39</v>
      </c>
    </row>
    <row r="23" spans="1:6" x14ac:dyDescent="0.2">
      <c r="A23" s="114"/>
      <c r="B23" s="3" t="s">
        <v>41</v>
      </c>
    </row>
    <row r="24" spans="1:6" x14ac:dyDescent="0.2">
      <c r="A24" s="114"/>
      <c r="B24" s="3" t="s">
        <v>42</v>
      </c>
    </row>
    <row r="25" spans="1:6" x14ac:dyDescent="0.2">
      <c r="A25" s="114"/>
      <c r="B25" s="3" t="s">
        <v>55</v>
      </c>
    </row>
    <row r="26" spans="1:6" x14ac:dyDescent="0.2">
      <c r="A26" s="114"/>
      <c r="B26" s="3" t="s">
        <v>56</v>
      </c>
    </row>
    <row r="29" spans="1:6" x14ac:dyDescent="0.2">
      <c r="A29" s="3" t="s">
        <v>61</v>
      </c>
    </row>
    <row r="30" spans="1:6" x14ac:dyDescent="0.2">
      <c r="B30" s="3" t="s">
        <v>62</v>
      </c>
      <c r="C30" s="3" t="s">
        <v>63</v>
      </c>
      <c r="D30" s="3" t="s">
        <v>64</v>
      </c>
      <c r="E30" s="3" t="s">
        <v>66</v>
      </c>
      <c r="F30" s="3" t="s">
        <v>65</v>
      </c>
    </row>
    <row r="31" spans="1:6" x14ac:dyDescent="0.2">
      <c r="A31" s="3" t="s">
        <v>27</v>
      </c>
      <c r="B31" s="3">
        <v>100</v>
      </c>
      <c r="C31" s="3">
        <f>B31*4</f>
        <v>400</v>
      </c>
      <c r="D31" s="3">
        <f>C31*12</f>
        <v>4800</v>
      </c>
      <c r="E31" s="3">
        <v>35</v>
      </c>
      <c r="F31" s="5">
        <f>(E31*C31)*1.2</f>
        <v>16800</v>
      </c>
    </row>
    <row r="32" spans="1:6" x14ac:dyDescent="0.2">
      <c r="A32" s="3" t="s">
        <v>30</v>
      </c>
      <c r="B32" s="3">
        <v>95</v>
      </c>
      <c r="C32" s="3">
        <v>404</v>
      </c>
      <c r="D32" s="3">
        <v>4848</v>
      </c>
      <c r="E32" s="3">
        <v>35</v>
      </c>
      <c r="F32" s="5">
        <f>(E32*C32)*1.2</f>
        <v>16968</v>
      </c>
    </row>
    <row r="33" spans="1:16" x14ac:dyDescent="0.2">
      <c r="A33" s="3" t="s">
        <v>35</v>
      </c>
      <c r="B33" s="3">
        <v>74</v>
      </c>
      <c r="C33" s="3">
        <f>B33*4</f>
        <v>296</v>
      </c>
      <c r="D33" s="3">
        <f>C33*12</f>
        <v>3552</v>
      </c>
      <c r="E33" s="3">
        <v>34</v>
      </c>
      <c r="F33" s="5">
        <f>(E33*C33)*1.2</f>
        <v>12076.8</v>
      </c>
    </row>
    <row r="34" spans="1:16" x14ac:dyDescent="0.2">
      <c r="A34" s="3" t="s">
        <v>14</v>
      </c>
      <c r="B34" s="3">
        <f>91*2.5</f>
        <v>227.5</v>
      </c>
      <c r="C34" s="3">
        <f>B34*4</f>
        <v>910</v>
      </c>
      <c r="D34" s="3">
        <f>C34*12</f>
        <v>10920</v>
      </c>
      <c r="E34" s="3">
        <v>27</v>
      </c>
      <c r="F34" s="5">
        <f t="shared" ref="F34:F37" si="0">(E34*C34)*1.2</f>
        <v>29484</v>
      </c>
    </row>
    <row r="35" spans="1:16" x14ac:dyDescent="0.2">
      <c r="A35" s="3" t="s">
        <v>21</v>
      </c>
      <c r="B35" s="3">
        <f>10*5</f>
        <v>50</v>
      </c>
      <c r="C35" s="3">
        <f>B35*4</f>
        <v>200</v>
      </c>
      <c r="D35" s="3">
        <f>C35*12</f>
        <v>2400</v>
      </c>
      <c r="E35" s="3">
        <v>30</v>
      </c>
      <c r="F35" s="5">
        <f t="shared" si="0"/>
        <v>7200</v>
      </c>
    </row>
    <row r="36" spans="1:16" x14ac:dyDescent="0.2">
      <c r="A36" s="3" t="s">
        <v>33</v>
      </c>
      <c r="B36" s="3">
        <f>95*1.2</f>
        <v>114</v>
      </c>
      <c r="C36" s="3">
        <f>B36*4</f>
        <v>456</v>
      </c>
      <c r="D36" s="3">
        <f>C36*12</f>
        <v>5472</v>
      </c>
      <c r="E36" s="3">
        <v>33</v>
      </c>
      <c r="F36" s="5">
        <f t="shared" si="0"/>
        <v>18057.599999999999</v>
      </c>
    </row>
    <row r="37" spans="1:16" x14ac:dyDescent="0.2">
      <c r="A37" s="3" t="s">
        <v>46</v>
      </c>
      <c r="B37" s="3">
        <v>100</v>
      </c>
      <c r="C37" s="3">
        <f>B37*4</f>
        <v>400</v>
      </c>
      <c r="D37" s="3">
        <f>C37*12</f>
        <v>4800</v>
      </c>
      <c r="E37" s="3">
        <v>37.5</v>
      </c>
      <c r="F37" s="5">
        <f t="shared" si="0"/>
        <v>18000</v>
      </c>
    </row>
    <row r="38" spans="1:16" x14ac:dyDescent="0.2">
      <c r="F38" s="6">
        <f>SUM(F31:F37)</f>
        <v>118586.4</v>
      </c>
    </row>
    <row r="40" spans="1:16" ht="15" x14ac:dyDescent="0.2">
      <c r="A40" s="4" t="s">
        <v>80</v>
      </c>
    </row>
    <row r="41" spans="1:16" x14ac:dyDescent="0.2">
      <c r="A41" s="115" t="s">
        <v>81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</row>
    <row r="42" spans="1:16" x14ac:dyDescent="0.2">
      <c r="A42" s="115" t="s">
        <v>82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</row>
    <row r="43" spans="1:16" x14ac:dyDescent="0.2">
      <c r="A43" s="115" t="s">
        <v>83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</row>
    <row r="44" spans="1:16" x14ac:dyDescent="0.2">
      <c r="A44" s="115" t="s">
        <v>84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</row>
    <row r="45" spans="1:16" x14ac:dyDescent="0.2">
      <c r="A45" s="115" t="s">
        <v>85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</row>
    <row r="46" spans="1:16" x14ac:dyDescent="0.2">
      <c r="A46" s="115" t="s">
        <v>86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</row>
    <row r="47" spans="1:16" x14ac:dyDescent="0.2">
      <c r="A47" s="115" t="s">
        <v>87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</row>
    <row r="48" spans="1:16" x14ac:dyDescent="0.2">
      <c r="A48" s="115" t="s">
        <v>88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</row>
    <row r="49" spans="1:16" x14ac:dyDescent="0.2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</row>
    <row r="50" spans="1:16" x14ac:dyDescent="0.2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</row>
    <row r="51" spans="1:16" x14ac:dyDescent="0.2">
      <c r="A51" s="115" t="s">
        <v>89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</row>
    <row r="52" spans="1:16" x14ac:dyDescent="0.2">
      <c r="A52" s="115" t="s">
        <v>90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</row>
    <row r="53" spans="1:16" x14ac:dyDescent="0.2">
      <c r="A53" s="115" t="s">
        <v>91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</row>
    <row r="54" spans="1:16" x14ac:dyDescent="0.2">
      <c r="A54" s="115" t="s">
        <v>92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</row>
    <row r="55" spans="1:16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</row>
    <row r="56" spans="1:16" x14ac:dyDescent="0.2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</row>
    <row r="57" spans="1:16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</row>
    <row r="58" spans="1:16" x14ac:dyDescent="0.2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</row>
    <row r="59" spans="1:16" x14ac:dyDescent="0.2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</row>
    <row r="60" spans="1:16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</row>
    <row r="61" spans="1:16" x14ac:dyDescent="0.2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</row>
    <row r="62" spans="1:16" x14ac:dyDescent="0.2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</row>
    <row r="63" spans="1:16" x14ac:dyDescent="0.2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</row>
    <row r="64" spans="1:16" x14ac:dyDescent="0.2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</row>
    <row r="65" spans="1:16" x14ac:dyDescent="0.2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</row>
    <row r="66" spans="1:16" x14ac:dyDescent="0.2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</row>
    <row r="67" spans="1:16" x14ac:dyDescent="0.2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</row>
    <row r="68" spans="1:16" x14ac:dyDescent="0.2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</row>
    <row r="69" spans="1:16" x14ac:dyDescent="0.2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</row>
    <row r="70" spans="1:16" x14ac:dyDescent="0.2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</row>
    <row r="71" spans="1:16" x14ac:dyDescent="0.2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</row>
    <row r="72" spans="1:16" x14ac:dyDescent="0.2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</row>
    <row r="74" spans="1:16" x14ac:dyDescent="0.2">
      <c r="A74" s="3" t="s">
        <v>93</v>
      </c>
    </row>
    <row r="75" spans="1:16" x14ac:dyDescent="0.2">
      <c r="B75" s="3" t="s">
        <v>101</v>
      </c>
      <c r="C75" s="3" t="s">
        <v>102</v>
      </c>
      <c r="D75" s="3" t="s">
        <v>103</v>
      </c>
      <c r="E75" s="3" t="s">
        <v>104</v>
      </c>
      <c r="F75" s="3" t="s">
        <v>101</v>
      </c>
      <c r="G75" s="3" t="s">
        <v>102</v>
      </c>
    </row>
    <row r="76" spans="1:16" x14ac:dyDescent="0.2">
      <c r="A76" s="3" t="s">
        <v>94</v>
      </c>
      <c r="B76" s="3">
        <v>6</v>
      </c>
      <c r="D76" s="3">
        <v>44.21</v>
      </c>
      <c r="E76" s="114">
        <v>66.31</v>
      </c>
      <c r="F76" s="3">
        <f>$D$76*B76</f>
        <v>265.26</v>
      </c>
    </row>
    <row r="77" spans="1:16" x14ac:dyDescent="0.2">
      <c r="A77" s="3" t="s">
        <v>95</v>
      </c>
      <c r="B77" s="3">
        <v>16</v>
      </c>
      <c r="E77" s="114"/>
      <c r="F77" s="3">
        <f t="shared" ref="F77:F81" si="1">$D$76*B77</f>
        <v>707.36</v>
      </c>
    </row>
    <row r="78" spans="1:16" x14ac:dyDescent="0.2">
      <c r="A78" s="3" t="s">
        <v>96</v>
      </c>
      <c r="B78" s="3">
        <v>16</v>
      </c>
      <c r="E78" s="114"/>
      <c r="F78" s="3">
        <f t="shared" si="1"/>
        <v>707.36</v>
      </c>
    </row>
    <row r="79" spans="1:16" x14ac:dyDescent="0.2">
      <c r="A79" s="3" t="s">
        <v>97</v>
      </c>
      <c r="B79" s="3">
        <v>16</v>
      </c>
      <c r="E79" s="114"/>
      <c r="F79" s="3">
        <f t="shared" si="1"/>
        <v>707.36</v>
      </c>
    </row>
    <row r="80" spans="1:16" x14ac:dyDescent="0.2">
      <c r="A80" s="3" t="s">
        <v>98</v>
      </c>
      <c r="B80" s="3">
        <v>16</v>
      </c>
      <c r="E80" s="114"/>
      <c r="F80" s="3">
        <f t="shared" si="1"/>
        <v>707.36</v>
      </c>
    </row>
    <row r="81" spans="1:7" x14ac:dyDescent="0.2">
      <c r="A81" s="3" t="s">
        <v>99</v>
      </c>
      <c r="B81" s="3">
        <v>11</v>
      </c>
      <c r="E81" s="114"/>
      <c r="F81" s="3">
        <f t="shared" si="1"/>
        <v>486.31</v>
      </c>
    </row>
    <row r="82" spans="1:7" x14ac:dyDescent="0.2">
      <c r="A82" s="3" t="s">
        <v>100</v>
      </c>
      <c r="C82" s="3">
        <v>10</v>
      </c>
      <c r="F82" s="3">
        <f>$D$76*B82</f>
        <v>0</v>
      </c>
      <c r="G82" s="3">
        <f>E76*C82</f>
        <v>663.1</v>
      </c>
    </row>
    <row r="84" spans="1:7" x14ac:dyDescent="0.2">
      <c r="E84" s="3" t="s">
        <v>105</v>
      </c>
      <c r="F84" s="3">
        <f>SUM(F76:F83)+G82</f>
        <v>4244.1100000000006</v>
      </c>
    </row>
    <row r="85" spans="1:7" x14ac:dyDescent="0.2">
      <c r="E85" s="3" t="s">
        <v>106</v>
      </c>
      <c r="F85" s="3">
        <f>F84*4</f>
        <v>16976.440000000002</v>
      </c>
    </row>
  </sheetData>
  <mergeCells count="40">
    <mergeCell ref="A68:P68"/>
    <mergeCell ref="A69:P69"/>
    <mergeCell ref="A70:P70"/>
    <mergeCell ref="A71:P71"/>
    <mergeCell ref="A72:P72"/>
    <mergeCell ref="A59:P59"/>
    <mergeCell ref="A60:P60"/>
    <mergeCell ref="A67:P67"/>
    <mergeCell ref="A61:P61"/>
    <mergeCell ref="A62:P62"/>
    <mergeCell ref="A63:P63"/>
    <mergeCell ref="A64:P64"/>
    <mergeCell ref="A65:P65"/>
    <mergeCell ref="A66:P66"/>
    <mergeCell ref="A53:P53"/>
    <mergeCell ref="A54:P54"/>
    <mergeCell ref="A55:P55"/>
    <mergeCell ref="A56:P56"/>
    <mergeCell ref="A58:P58"/>
    <mergeCell ref="A48:P48"/>
    <mergeCell ref="A49:P49"/>
    <mergeCell ref="A50:P50"/>
    <mergeCell ref="A51:P51"/>
    <mergeCell ref="A52:P52"/>
    <mergeCell ref="E76:E81"/>
    <mergeCell ref="A45:P45"/>
    <mergeCell ref="A3:A4"/>
    <mergeCell ref="A5:A7"/>
    <mergeCell ref="A9:A11"/>
    <mergeCell ref="A12:A15"/>
    <mergeCell ref="A16:A18"/>
    <mergeCell ref="A19:A21"/>
    <mergeCell ref="A22:A26"/>
    <mergeCell ref="A41:P41"/>
    <mergeCell ref="A42:P42"/>
    <mergeCell ref="A43:P43"/>
    <mergeCell ref="A44:P44"/>
    <mergeCell ref="A57:P57"/>
    <mergeCell ref="A46:P46"/>
    <mergeCell ref="A47:P4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J31" sqref="J31"/>
    </sheetView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8"/>
  <sheetViews>
    <sheetView rightToLeft="1" showWhiteSpace="0" zoomScaleNormal="100" workbookViewId="0">
      <selection activeCell="A2" sqref="A2"/>
    </sheetView>
  </sheetViews>
  <sheetFormatPr defaultRowHeight="14.25" x14ac:dyDescent="0.2"/>
  <cols>
    <col min="1" max="1" width="23.875" bestFit="1" customWidth="1"/>
    <col min="2" max="2" width="11" bestFit="1" customWidth="1"/>
    <col min="3" max="3" width="10.875" bestFit="1" customWidth="1"/>
    <col min="4" max="4" width="11.125" bestFit="1" customWidth="1"/>
    <col min="5" max="5" width="11" bestFit="1" customWidth="1"/>
    <col min="6" max="6" width="10.875" bestFit="1" customWidth="1"/>
    <col min="7" max="7" width="11.125" bestFit="1" customWidth="1"/>
    <col min="8" max="8" width="12.5" customWidth="1"/>
    <col min="9" max="9" width="11.875" customWidth="1"/>
    <col min="10" max="10" width="10.5" bestFit="1" customWidth="1"/>
  </cols>
  <sheetData>
    <row r="2" spans="1:13" ht="18" x14ac:dyDescent="0.25">
      <c r="B2" s="69" t="s">
        <v>251</v>
      </c>
    </row>
    <row r="3" spans="1:13" ht="15" thickBot="1" x14ac:dyDescent="0.25"/>
    <row r="4" spans="1:13" ht="16.5" thickTop="1" thickBot="1" x14ac:dyDescent="0.3">
      <c r="A4" s="112" t="s">
        <v>246</v>
      </c>
      <c r="B4" s="106">
        <v>2017</v>
      </c>
      <c r="C4" s="107"/>
      <c r="D4" s="108"/>
      <c r="E4" s="106">
        <v>2016</v>
      </c>
      <c r="F4" s="109"/>
      <c r="G4" s="110"/>
      <c r="H4" s="111" t="s">
        <v>218</v>
      </c>
      <c r="I4" s="109"/>
      <c r="J4" s="110"/>
    </row>
    <row r="5" spans="1:13" s="2" customFormat="1" ht="15.75" thickBot="1" x14ac:dyDescent="0.3">
      <c r="A5" s="113"/>
      <c r="B5" s="73" t="s">
        <v>0</v>
      </c>
      <c r="C5" s="36" t="s">
        <v>1</v>
      </c>
      <c r="D5" s="74" t="s">
        <v>245</v>
      </c>
      <c r="E5" s="73" t="s">
        <v>0</v>
      </c>
      <c r="F5" s="36" t="s">
        <v>1</v>
      </c>
      <c r="G5" s="74" t="s">
        <v>245</v>
      </c>
      <c r="H5" s="78" t="s">
        <v>0</v>
      </c>
      <c r="I5" s="79" t="s">
        <v>1</v>
      </c>
      <c r="J5" s="80" t="s">
        <v>245</v>
      </c>
    </row>
    <row r="6" spans="1:13" ht="15" x14ac:dyDescent="0.25">
      <c r="A6" s="75" t="s">
        <v>2</v>
      </c>
      <c r="B6" s="83">
        <f>'קאנטרי קלאב'!N10</f>
        <v>5715816</v>
      </c>
      <c r="C6" s="82">
        <f>'קאנטרי קלאב'!N36</f>
        <v>5162314</v>
      </c>
      <c r="D6" s="81">
        <f>B6-C6</f>
        <v>553502</v>
      </c>
      <c r="E6" s="83">
        <f>'קאנטרי קלאב'!O10</f>
        <v>5504627</v>
      </c>
      <c r="F6" s="82">
        <f>'קאנטרי קלאב'!O36</f>
        <v>4888125</v>
      </c>
      <c r="G6" s="81">
        <f>'קאנטרי קלאב'!O38</f>
        <v>616502</v>
      </c>
      <c r="H6" s="83">
        <f>B6-E6</f>
        <v>211189</v>
      </c>
      <c r="I6" s="82">
        <f>C6-F6</f>
        <v>274189</v>
      </c>
      <c r="J6" s="81">
        <f>D6-G6</f>
        <v>-63000</v>
      </c>
    </row>
    <row r="7" spans="1:13" ht="15" x14ac:dyDescent="0.25">
      <c r="A7" s="76" t="s">
        <v>144</v>
      </c>
      <c r="B7" s="83">
        <f>'מזנון בריכה קאנטרי קלאב'!N4</f>
        <v>150000</v>
      </c>
      <c r="C7" s="82">
        <f>'מזנון בריכה קאנטרי קלאב'!N12</f>
        <v>100500</v>
      </c>
      <c r="D7" s="81">
        <f>B7-C7</f>
        <v>49500</v>
      </c>
      <c r="E7" s="83">
        <f>'מזנון בריכה קאנטרי קלאב'!O4</f>
        <v>131376</v>
      </c>
      <c r="F7" s="82">
        <f>'מזנון בריכה קאנטרי קלאב'!O12</f>
        <v>115596.5</v>
      </c>
      <c r="G7" s="81">
        <f>'מזנון בריכה קאנטרי קלאב'!O14</f>
        <v>15779.5</v>
      </c>
      <c r="H7" s="83">
        <f t="shared" ref="H7:J22" si="0">B7-E7</f>
        <v>18624</v>
      </c>
      <c r="I7" s="82">
        <f t="shared" si="0"/>
        <v>-15096.5</v>
      </c>
      <c r="J7" s="81">
        <f t="shared" si="0"/>
        <v>33720.5</v>
      </c>
    </row>
    <row r="8" spans="1:13" ht="15" x14ac:dyDescent="0.25">
      <c r="A8" s="76" t="s">
        <v>53</v>
      </c>
      <c r="B8" s="83">
        <f>'בריכה עפולה עילית'!N8</f>
        <v>369500</v>
      </c>
      <c r="C8" s="82">
        <f>'בריכה עפולה עילית'!N30</f>
        <v>251700</v>
      </c>
      <c r="D8" s="81">
        <f>B8-C8</f>
        <v>117800</v>
      </c>
      <c r="E8" s="83">
        <f>'בריכה עפולה עילית'!O8</f>
        <v>353096</v>
      </c>
      <c r="F8" s="82">
        <f>'בריכה עפולה עילית'!O30</f>
        <v>210746</v>
      </c>
      <c r="G8" s="81">
        <f>'בריכה עפולה עילית'!O32</f>
        <v>142350</v>
      </c>
      <c r="H8" s="83">
        <f t="shared" si="0"/>
        <v>16404</v>
      </c>
      <c r="I8" s="82">
        <f t="shared" si="0"/>
        <v>40954</v>
      </c>
      <c r="J8" s="81">
        <f t="shared" si="0"/>
        <v>-24550</v>
      </c>
      <c r="K8" s="35"/>
      <c r="L8" s="35"/>
      <c r="M8" s="35"/>
    </row>
    <row r="9" spans="1:13" ht="15" x14ac:dyDescent="0.25">
      <c r="A9" s="76" t="s">
        <v>143</v>
      </c>
      <c r="B9" s="83">
        <f>'מזנון בריכה עפולה עילית '!N5</f>
        <v>190000</v>
      </c>
      <c r="C9" s="82">
        <f>'מזנון בריכה עפולה עילית '!N13</f>
        <v>122500</v>
      </c>
      <c r="D9" s="81">
        <f>B9-C9</f>
        <v>67500</v>
      </c>
      <c r="E9" s="83">
        <f>'מזנון בריכה עפולה עילית '!O5</f>
        <v>174526</v>
      </c>
      <c r="F9" s="82">
        <f>'מזנון בריכה עפולה עילית '!O13</f>
        <v>129626.5</v>
      </c>
      <c r="G9" s="81">
        <f>'מזנון בריכה עפולה עילית '!O15</f>
        <v>44899.5</v>
      </c>
      <c r="H9" s="83">
        <f t="shared" si="0"/>
        <v>15474</v>
      </c>
      <c r="I9" s="82">
        <f t="shared" si="0"/>
        <v>-7126.5</v>
      </c>
      <c r="J9" s="81">
        <f t="shared" si="0"/>
        <v>22600.5</v>
      </c>
      <c r="K9" s="35"/>
      <c r="L9" s="35"/>
      <c r="M9" s="35"/>
    </row>
    <row r="10" spans="1:13" ht="15" x14ac:dyDescent="0.25">
      <c r="A10" s="76" t="s">
        <v>3</v>
      </c>
      <c r="B10" s="83">
        <f>'הכנסות מדמי שכירות'!N4</f>
        <v>1335600</v>
      </c>
      <c r="C10" s="82">
        <f>'הכנסות מדמי שכירות'!N14</f>
        <v>0</v>
      </c>
      <c r="D10" s="81">
        <f t="shared" ref="D10:D19" si="1">B10-C10</f>
        <v>1335600</v>
      </c>
      <c r="E10" s="83">
        <f>'הכנסות מדמי שכירות'!O4</f>
        <v>1209089</v>
      </c>
      <c r="F10" s="82">
        <f>'הכנסות מדמי שכירות'!O14</f>
        <v>0</v>
      </c>
      <c r="G10" s="81">
        <f>'הכנסות מדמי שכירות'!O4-'הכנסות מדמי שכירות'!O14</f>
        <v>1209089</v>
      </c>
      <c r="H10" s="83">
        <f t="shared" si="0"/>
        <v>126511</v>
      </c>
      <c r="I10" s="82">
        <f t="shared" si="0"/>
        <v>0</v>
      </c>
      <c r="J10" s="81">
        <f t="shared" si="0"/>
        <v>126511</v>
      </c>
      <c r="K10" s="35"/>
      <c r="L10" s="35"/>
      <c r="M10" s="35"/>
    </row>
    <row r="11" spans="1:13" ht="15" x14ac:dyDescent="0.25">
      <c r="A11" s="76" t="s">
        <v>6</v>
      </c>
      <c r="B11" s="83">
        <f>'חממה טכנולוגית- מרכז חדשנות'!N7</f>
        <v>352960</v>
      </c>
      <c r="C11" s="82">
        <f>'חממה טכנולוגית- מרכז חדשנות'!N28</f>
        <v>0</v>
      </c>
      <c r="D11" s="81">
        <f t="shared" si="1"/>
        <v>352960</v>
      </c>
      <c r="E11" s="83">
        <f>'חממה טכנולוגית- מרכז חדשנות'!O7</f>
        <v>271260</v>
      </c>
      <c r="F11" s="82">
        <f>'חממה טכנולוגית- מרכז חדשנות'!O28</f>
        <v>103098</v>
      </c>
      <c r="G11" s="81">
        <f>'חממה טכנולוגית- מרכז חדשנות'!O7-'חממה טכנולוגית- מרכז חדשנות'!O28</f>
        <v>168162</v>
      </c>
      <c r="H11" s="83">
        <f t="shared" si="0"/>
        <v>81700</v>
      </c>
      <c r="I11" s="82">
        <f t="shared" si="0"/>
        <v>-103098</v>
      </c>
      <c r="J11" s="81">
        <f t="shared" si="0"/>
        <v>184798</v>
      </c>
      <c r="K11" s="35"/>
      <c r="L11" s="35"/>
      <c r="M11" s="35"/>
    </row>
    <row r="12" spans="1:13" ht="15" x14ac:dyDescent="0.25">
      <c r="A12" s="76" t="s">
        <v>4</v>
      </c>
      <c r="B12" s="83">
        <f>'הכנסות מדמי שכירות'!N3</f>
        <v>0</v>
      </c>
      <c r="C12" s="82">
        <f>'הכנסות מדמי שכירות'!N13</f>
        <v>0</v>
      </c>
      <c r="D12" s="81">
        <f t="shared" si="1"/>
        <v>0</v>
      </c>
      <c r="E12" s="83">
        <f>'הכנסות מדמי שכירות'!O3</f>
        <v>73085</v>
      </c>
      <c r="F12" s="82">
        <f>'הכנסות מדמי שכירות'!O13</f>
        <v>307911</v>
      </c>
      <c r="G12" s="81">
        <f>'הכנסות מדמי שכירות'!O3-'הכנסות מדמי שכירות'!O13</f>
        <v>-234826</v>
      </c>
      <c r="H12" s="83">
        <f t="shared" si="0"/>
        <v>-73085</v>
      </c>
      <c r="I12" s="82">
        <f t="shared" si="0"/>
        <v>-307911</v>
      </c>
      <c r="J12" s="81">
        <f t="shared" si="0"/>
        <v>234826</v>
      </c>
      <c r="K12" s="35"/>
      <c r="L12" s="35"/>
      <c r="M12" s="35"/>
    </row>
    <row r="13" spans="1:13" ht="15" x14ac:dyDescent="0.25">
      <c r="A13" s="76" t="s">
        <v>5</v>
      </c>
      <c r="B13" s="83">
        <f>'הכנסות מדמי שכירות'!N5</f>
        <v>338400</v>
      </c>
      <c r="C13" s="82">
        <f>'הכנסות מדמי שכירות'!N15</f>
        <v>203040</v>
      </c>
      <c r="D13" s="81">
        <f t="shared" si="1"/>
        <v>135360</v>
      </c>
      <c r="E13" s="83">
        <f>'הכנסות מדמי שכירות'!O5</f>
        <v>365393</v>
      </c>
      <c r="F13" s="82">
        <f>'הכנסות מדמי שכירות'!O15</f>
        <v>221756</v>
      </c>
      <c r="G13" s="81">
        <f>'הכנסות מדמי שכירות'!O5-'הכנסות מדמי שכירות'!O15</f>
        <v>143637</v>
      </c>
      <c r="H13" s="83">
        <f t="shared" si="0"/>
        <v>-26993</v>
      </c>
      <c r="I13" s="82">
        <f t="shared" si="0"/>
        <v>-18716</v>
      </c>
      <c r="J13" s="81">
        <f t="shared" si="0"/>
        <v>-8277</v>
      </c>
      <c r="K13" s="35"/>
      <c r="L13" s="35"/>
      <c r="M13" s="35"/>
    </row>
    <row r="14" spans="1:13" ht="15" x14ac:dyDescent="0.25">
      <c r="A14" s="76" t="s">
        <v>7</v>
      </c>
      <c r="B14" s="83"/>
      <c r="C14" s="82"/>
      <c r="D14" s="81">
        <f t="shared" si="1"/>
        <v>0</v>
      </c>
      <c r="E14" s="83"/>
      <c r="F14" s="82"/>
      <c r="G14" s="81"/>
      <c r="H14" s="83">
        <f t="shared" si="0"/>
        <v>0</v>
      </c>
      <c r="I14" s="82">
        <f t="shared" si="0"/>
        <v>0</v>
      </c>
      <c r="J14" s="81">
        <f t="shared" si="0"/>
        <v>0</v>
      </c>
      <c r="K14" s="35"/>
      <c r="L14" s="35"/>
      <c r="M14" s="35"/>
    </row>
    <row r="15" spans="1:13" ht="15" x14ac:dyDescent="0.25">
      <c r="A15" s="76" t="s">
        <v>8</v>
      </c>
      <c r="B15" s="83"/>
      <c r="C15" s="82"/>
      <c r="D15" s="81">
        <f t="shared" si="1"/>
        <v>0</v>
      </c>
      <c r="E15" s="83"/>
      <c r="F15" s="82"/>
      <c r="G15" s="81"/>
      <c r="H15" s="83">
        <f t="shared" si="0"/>
        <v>0</v>
      </c>
      <c r="I15" s="82">
        <f t="shared" si="0"/>
        <v>0</v>
      </c>
      <c r="J15" s="81">
        <f t="shared" si="0"/>
        <v>0</v>
      </c>
      <c r="K15" s="35"/>
      <c r="L15" s="35"/>
      <c r="M15" s="35"/>
    </row>
    <row r="16" spans="1:13" ht="15" x14ac:dyDescent="0.25">
      <c r="A16" s="76" t="s">
        <v>9</v>
      </c>
      <c r="B16" s="83"/>
      <c r="C16" s="82"/>
      <c r="D16" s="81">
        <f t="shared" si="1"/>
        <v>0</v>
      </c>
      <c r="E16" s="83"/>
      <c r="F16" s="82"/>
      <c r="G16" s="81"/>
      <c r="H16" s="83">
        <f t="shared" si="0"/>
        <v>0</v>
      </c>
      <c r="I16" s="82">
        <f t="shared" si="0"/>
        <v>0</v>
      </c>
      <c r="J16" s="81">
        <f t="shared" si="0"/>
        <v>0</v>
      </c>
      <c r="K16" s="35"/>
      <c r="L16" s="35"/>
      <c r="M16" s="35"/>
    </row>
    <row r="17" spans="1:13" ht="15" x14ac:dyDescent="0.25">
      <c r="A17" s="76" t="s">
        <v>10</v>
      </c>
      <c r="B17" s="83"/>
      <c r="C17" s="82"/>
      <c r="D17" s="81">
        <f t="shared" si="1"/>
        <v>0</v>
      </c>
      <c r="E17" s="83"/>
      <c r="F17" s="82"/>
      <c r="G17" s="81"/>
      <c r="H17" s="83">
        <f t="shared" si="0"/>
        <v>0</v>
      </c>
      <c r="I17" s="82">
        <f t="shared" si="0"/>
        <v>0</v>
      </c>
      <c r="J17" s="81">
        <f t="shared" si="0"/>
        <v>0</v>
      </c>
      <c r="K17" s="35"/>
      <c r="L17" s="35"/>
      <c r="M17" s="35"/>
    </row>
    <row r="18" spans="1:13" ht="15" x14ac:dyDescent="0.25">
      <c r="A18" s="76" t="s">
        <v>213</v>
      </c>
      <c r="B18" s="83">
        <f>'הכנסות מדמי שכירות'!N7</f>
        <v>36000</v>
      </c>
      <c r="C18" s="82">
        <f>'הכנסות מדמי שכירות'!N17</f>
        <v>4800</v>
      </c>
      <c r="D18" s="81">
        <f t="shared" si="1"/>
        <v>31200</v>
      </c>
      <c r="E18" s="83">
        <f>'הכנסות מדמי שכירות'!O7</f>
        <v>79500</v>
      </c>
      <c r="F18" s="82">
        <f>'הכנסות מדמי שכירות'!O17</f>
        <v>26122</v>
      </c>
      <c r="G18" s="81">
        <f>'הכנסות מדמי שכירות'!O7-'הכנסות מדמי שכירות'!O17</f>
        <v>53378</v>
      </c>
      <c r="H18" s="83">
        <f t="shared" si="0"/>
        <v>-43500</v>
      </c>
      <c r="I18" s="82">
        <f t="shared" si="0"/>
        <v>-21322</v>
      </c>
      <c r="J18" s="81">
        <f t="shared" si="0"/>
        <v>-22178</v>
      </c>
      <c r="K18" s="35"/>
      <c r="L18" s="35"/>
      <c r="M18" s="35"/>
    </row>
    <row r="19" spans="1:13" ht="15" x14ac:dyDescent="0.25">
      <c r="A19" s="76" t="s">
        <v>52</v>
      </c>
      <c r="B19" s="83">
        <f>'העסקת עובדי עירייה'!N9</f>
        <v>1879300</v>
      </c>
      <c r="C19" s="82">
        <f>'העסקת עובדי עירייה'!N23</f>
        <v>1774697</v>
      </c>
      <c r="D19" s="81">
        <f t="shared" si="1"/>
        <v>104603</v>
      </c>
      <c r="E19" s="83">
        <f>'העסקת עובדי עירייה'!O9</f>
        <v>13726234</v>
      </c>
      <c r="F19" s="82">
        <f>'העסקת עובדי עירייה'!O23</f>
        <v>13513789</v>
      </c>
      <c r="G19" s="81">
        <f>'העסקת עובדי עירייה'!O25</f>
        <v>212445</v>
      </c>
      <c r="H19" s="83">
        <f t="shared" si="0"/>
        <v>-11846934</v>
      </c>
      <c r="I19" s="82">
        <f t="shared" si="0"/>
        <v>-11739092</v>
      </c>
      <c r="J19" s="81">
        <f t="shared" si="0"/>
        <v>-107842</v>
      </c>
      <c r="K19" s="35"/>
      <c r="L19" s="35"/>
      <c r="M19" s="35"/>
    </row>
    <row r="20" spans="1:13" ht="15" x14ac:dyDescent="0.25">
      <c r="A20" s="76"/>
      <c r="B20" s="83"/>
      <c r="C20" s="82"/>
      <c r="D20" s="81"/>
      <c r="E20" s="83"/>
      <c r="F20" s="82"/>
      <c r="G20" s="81"/>
      <c r="H20" s="83">
        <f t="shared" si="0"/>
        <v>0</v>
      </c>
      <c r="I20" s="82">
        <f t="shared" si="0"/>
        <v>0</v>
      </c>
      <c r="J20" s="81">
        <f t="shared" si="0"/>
        <v>0</v>
      </c>
    </row>
    <row r="21" spans="1:13" ht="15" x14ac:dyDescent="0.25">
      <c r="A21" s="76" t="s">
        <v>137</v>
      </c>
      <c r="B21" s="83"/>
      <c r="C21" s="82">
        <f>'הנהלה וכלליות'!N22</f>
        <v>1241986</v>
      </c>
      <c r="D21" s="81">
        <f>B21-C21</f>
        <v>-1241986</v>
      </c>
      <c r="E21" s="83"/>
      <c r="F21" s="82">
        <f>'הנהלה וכלליות'!O22</f>
        <v>1121771</v>
      </c>
      <c r="G21" s="81">
        <f>-'הנהלה וכלליות'!O22</f>
        <v>-1121771</v>
      </c>
      <c r="H21" s="83">
        <f t="shared" si="0"/>
        <v>0</v>
      </c>
      <c r="I21" s="82">
        <f t="shared" si="0"/>
        <v>120215</v>
      </c>
      <c r="J21" s="81">
        <f t="shared" si="0"/>
        <v>-120215</v>
      </c>
      <c r="K21" s="35"/>
      <c r="L21" s="35"/>
      <c r="M21" s="35"/>
    </row>
    <row r="22" spans="1:13" ht="15" x14ac:dyDescent="0.25">
      <c r="A22" s="76"/>
      <c r="B22" s="83"/>
      <c r="C22" s="82"/>
      <c r="D22" s="81"/>
      <c r="E22" s="83"/>
      <c r="F22" s="82"/>
      <c r="G22" s="81"/>
      <c r="H22" s="83">
        <f t="shared" ref="H22:H23" si="2">B22-E22</f>
        <v>0</v>
      </c>
      <c r="I22" s="82">
        <f t="shared" ref="I22:J23" si="3">C22-F22</f>
        <v>0</v>
      </c>
      <c r="J22" s="81">
        <f t="shared" si="0"/>
        <v>0</v>
      </c>
      <c r="K22" s="35"/>
      <c r="L22" s="35"/>
      <c r="M22" s="35"/>
    </row>
    <row r="23" spans="1:13" ht="15" x14ac:dyDescent="0.25">
      <c r="A23" s="76" t="s">
        <v>248</v>
      </c>
      <c r="B23" s="83"/>
      <c r="C23" s="82">
        <v>2500000</v>
      </c>
      <c r="D23" s="81">
        <f t="shared" ref="D23" si="4">B23-C23</f>
        <v>-2500000</v>
      </c>
      <c r="E23" s="83"/>
      <c r="F23" s="82">
        <v>2457074</v>
      </c>
      <c r="G23" s="81">
        <f t="shared" ref="G23" si="5">E23-F23</f>
        <v>-2457074</v>
      </c>
      <c r="H23" s="83">
        <f t="shared" si="2"/>
        <v>0</v>
      </c>
      <c r="I23" s="82">
        <f t="shared" si="3"/>
        <v>42926</v>
      </c>
      <c r="J23" s="81">
        <f t="shared" si="3"/>
        <v>-42926</v>
      </c>
      <c r="K23" s="35"/>
      <c r="L23" s="35"/>
      <c r="M23" s="35"/>
    </row>
    <row r="24" spans="1:13" ht="15.75" thickBot="1" x14ac:dyDescent="0.3">
      <c r="A24" s="77"/>
      <c r="B24" s="84"/>
      <c r="C24" s="85"/>
      <c r="D24" s="86"/>
      <c r="E24" s="84"/>
      <c r="F24" s="85"/>
      <c r="G24" s="86"/>
      <c r="H24" s="84"/>
      <c r="I24" s="85"/>
      <c r="J24" s="86"/>
    </row>
    <row r="25" spans="1:13" ht="15.75" thickBot="1" x14ac:dyDescent="0.3">
      <c r="A25" s="72" t="s">
        <v>208</v>
      </c>
      <c r="B25" s="87">
        <f>SUM(B6:B24)</f>
        <v>10367576</v>
      </c>
      <c r="C25" s="88">
        <f t="shared" ref="C25:J25" si="6">SUM(C6:C24)</f>
        <v>11361537</v>
      </c>
      <c r="D25" s="89">
        <f>SUM(D6:D24)</f>
        <v>-993961</v>
      </c>
      <c r="E25" s="87">
        <f t="shared" ref="E25:F25" si="7">SUM(E6:E24)</f>
        <v>21888186</v>
      </c>
      <c r="F25" s="88">
        <f t="shared" si="7"/>
        <v>23095615</v>
      </c>
      <c r="G25" s="89">
        <f>SUM(G6:G24)</f>
        <v>-1207429</v>
      </c>
      <c r="H25" s="87">
        <f t="shared" ref="H25:I25" si="8">SUM(H6:H24)</f>
        <v>-11520610</v>
      </c>
      <c r="I25" s="88">
        <f t="shared" si="8"/>
        <v>-11734078</v>
      </c>
      <c r="J25" s="89">
        <f t="shared" si="6"/>
        <v>213468</v>
      </c>
    </row>
    <row r="26" spans="1:13" ht="15.75" thickTop="1" thickBot="1" x14ac:dyDescent="0.25"/>
    <row r="27" spans="1:13" ht="15.75" thickBot="1" x14ac:dyDescent="0.3">
      <c r="A27" s="72" t="s">
        <v>259</v>
      </c>
      <c r="B27" s="87">
        <f>B25</f>
        <v>10367576</v>
      </c>
      <c r="C27" s="88">
        <f>C25-C23</f>
        <v>8861537</v>
      </c>
      <c r="D27" s="89">
        <f>B27-C27</f>
        <v>1506039</v>
      </c>
      <c r="E27" s="87">
        <f>E25</f>
        <v>21888186</v>
      </c>
      <c r="F27" s="88">
        <f>F25-F23</f>
        <v>20638541</v>
      </c>
      <c r="G27" s="89">
        <f>E27-F27</f>
        <v>1249645</v>
      </c>
      <c r="H27" s="87">
        <f>H25</f>
        <v>-11520610</v>
      </c>
      <c r="I27" s="88">
        <f>I25-I23</f>
        <v>-11777004</v>
      </c>
      <c r="J27" s="89">
        <f>H27-I27</f>
        <v>256394</v>
      </c>
    </row>
    <row r="28" spans="1:13" ht="15" thickTop="1" x14ac:dyDescent="0.2">
      <c r="F28" s="35"/>
    </row>
  </sheetData>
  <mergeCells count="4">
    <mergeCell ref="B4:D4"/>
    <mergeCell ref="E4:G4"/>
    <mergeCell ref="H4:J4"/>
    <mergeCell ref="A4:A5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rightToLeft="1" zoomScaleNormal="100" workbookViewId="0">
      <selection activeCell="A2" sqref="A2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1" ht="21.75" customHeight="1" thickBot="1" x14ac:dyDescent="0.3">
      <c r="A1" s="13" t="s">
        <v>117</v>
      </c>
    </row>
    <row r="2" spans="1:21" x14ac:dyDescent="0.25">
      <c r="A2" s="7"/>
      <c r="B2" s="11" t="s">
        <v>67</v>
      </c>
      <c r="C2" s="11" t="s">
        <v>68</v>
      </c>
      <c r="D2" s="11" t="s">
        <v>69</v>
      </c>
      <c r="E2" s="11" t="s">
        <v>70</v>
      </c>
      <c r="F2" s="11" t="s">
        <v>71</v>
      </c>
      <c r="G2" s="11" t="s">
        <v>72</v>
      </c>
      <c r="H2" s="11" t="s">
        <v>73</v>
      </c>
      <c r="I2" s="11" t="s">
        <v>74</v>
      </c>
      <c r="J2" s="11" t="s">
        <v>75</v>
      </c>
      <c r="K2" s="11" t="s">
        <v>76</v>
      </c>
      <c r="L2" s="11" t="s">
        <v>77</v>
      </c>
      <c r="M2" s="12" t="s">
        <v>78</v>
      </c>
      <c r="N2" s="8" t="s">
        <v>119</v>
      </c>
      <c r="O2" s="8" t="s">
        <v>120</v>
      </c>
      <c r="P2" s="8" t="s">
        <v>238</v>
      </c>
    </row>
    <row r="3" spans="1:21" x14ac:dyDescent="0.25">
      <c r="A3" s="22" t="s">
        <v>109</v>
      </c>
      <c r="B3" s="23">
        <f>400000*1.05</f>
        <v>420000</v>
      </c>
      <c r="C3" s="23">
        <f t="shared" ref="C3:M3" si="0">400000*1.05</f>
        <v>420000</v>
      </c>
      <c r="D3" s="23">
        <f t="shared" si="0"/>
        <v>420000</v>
      </c>
      <c r="E3" s="23">
        <f t="shared" si="0"/>
        <v>420000</v>
      </c>
      <c r="F3" s="23">
        <f t="shared" si="0"/>
        <v>420000</v>
      </c>
      <c r="G3" s="23">
        <f t="shared" si="0"/>
        <v>420000</v>
      </c>
      <c r="H3" s="23">
        <f t="shared" si="0"/>
        <v>420000</v>
      </c>
      <c r="I3" s="23">
        <f t="shared" si="0"/>
        <v>420000</v>
      </c>
      <c r="J3" s="23">
        <f t="shared" si="0"/>
        <v>420000</v>
      </c>
      <c r="K3" s="23">
        <f t="shared" si="0"/>
        <v>420000</v>
      </c>
      <c r="L3" s="23">
        <f t="shared" si="0"/>
        <v>420000</v>
      </c>
      <c r="M3" s="23">
        <f t="shared" si="0"/>
        <v>420000</v>
      </c>
      <c r="N3" s="9">
        <f>SUM(B3:M3)</f>
        <v>5040000</v>
      </c>
      <c r="O3" s="9">
        <v>4850647</v>
      </c>
      <c r="P3" s="9">
        <f>N3-O3</f>
        <v>189353</v>
      </c>
    </row>
    <row r="4" spans="1:21" x14ac:dyDescent="0.25">
      <c r="A4" s="22" t="s">
        <v>110</v>
      </c>
      <c r="B4" s="23">
        <v>15000</v>
      </c>
      <c r="C4" s="23">
        <v>15000</v>
      </c>
      <c r="D4" s="23">
        <v>15000</v>
      </c>
      <c r="E4" s="23">
        <v>15000</v>
      </c>
      <c r="F4" s="23">
        <v>25000</v>
      </c>
      <c r="G4" s="23">
        <v>25000</v>
      </c>
      <c r="H4" s="23">
        <v>25000</v>
      </c>
      <c r="I4" s="23">
        <v>25000</v>
      </c>
      <c r="J4" s="23">
        <v>20000</v>
      </c>
      <c r="K4" s="23">
        <v>15000</v>
      </c>
      <c r="L4" s="23">
        <v>15000</v>
      </c>
      <c r="M4" s="23">
        <v>15000</v>
      </c>
      <c r="N4" s="9">
        <f>SUM(B4:M4)</f>
        <v>225000</v>
      </c>
      <c r="O4" s="9">
        <v>223497</v>
      </c>
      <c r="P4" s="9">
        <f t="shared" ref="P4:P9" si="1">N4-O4</f>
        <v>1503</v>
      </c>
    </row>
    <row r="5" spans="1:21" x14ac:dyDescent="0.25">
      <c r="A5" s="22" t="s">
        <v>111</v>
      </c>
      <c r="B5" s="23">
        <v>0</v>
      </c>
      <c r="C5" s="23">
        <v>0</v>
      </c>
      <c r="D5" s="23">
        <v>0</v>
      </c>
      <c r="E5" s="23">
        <v>0</v>
      </c>
      <c r="F5" s="23">
        <v>8000</v>
      </c>
      <c r="G5" s="23">
        <v>120000</v>
      </c>
      <c r="H5" s="23">
        <v>125000</v>
      </c>
      <c r="I5" s="23">
        <v>125000</v>
      </c>
      <c r="J5" s="23">
        <v>0</v>
      </c>
      <c r="K5" s="23">
        <v>0</v>
      </c>
      <c r="L5" s="23">
        <v>0</v>
      </c>
      <c r="M5" s="24">
        <v>0</v>
      </c>
      <c r="N5" s="9">
        <f t="shared" ref="N5:N9" si="2">SUM(B5:M5)</f>
        <v>378000</v>
      </c>
      <c r="O5" s="9">
        <v>358019</v>
      </c>
      <c r="P5" s="9">
        <f t="shared" si="1"/>
        <v>19981</v>
      </c>
    </row>
    <row r="6" spans="1:21" x14ac:dyDescent="0.25">
      <c r="A6" s="22" t="s">
        <v>112</v>
      </c>
      <c r="B6" s="23">
        <f>1500+3500+1068</f>
        <v>6068</v>
      </c>
      <c r="C6" s="23">
        <f t="shared" ref="C6:M6" si="3">1500+3500+1068</f>
        <v>6068</v>
      </c>
      <c r="D6" s="23">
        <f t="shared" si="3"/>
        <v>6068</v>
      </c>
      <c r="E6" s="23">
        <f t="shared" si="3"/>
        <v>6068</v>
      </c>
      <c r="F6" s="23">
        <f t="shared" si="3"/>
        <v>6068</v>
      </c>
      <c r="G6" s="23">
        <f t="shared" si="3"/>
        <v>6068</v>
      </c>
      <c r="H6" s="23">
        <f t="shared" si="3"/>
        <v>6068</v>
      </c>
      <c r="I6" s="23">
        <f t="shared" si="3"/>
        <v>6068</v>
      </c>
      <c r="J6" s="23">
        <f t="shared" si="3"/>
        <v>6068</v>
      </c>
      <c r="K6" s="23">
        <f t="shared" si="3"/>
        <v>6068</v>
      </c>
      <c r="L6" s="23">
        <f t="shared" si="3"/>
        <v>6068</v>
      </c>
      <c r="M6" s="23">
        <f t="shared" si="3"/>
        <v>6068</v>
      </c>
      <c r="N6" s="9">
        <f t="shared" si="2"/>
        <v>72816</v>
      </c>
      <c r="O6" s="9">
        <v>70550</v>
      </c>
      <c r="P6" s="9">
        <f t="shared" si="1"/>
        <v>2266</v>
      </c>
    </row>
    <row r="7" spans="1:21" x14ac:dyDescent="0.25">
      <c r="A7" s="22" t="s">
        <v>219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4">
        <v>0</v>
      </c>
      <c r="N7" s="9">
        <f t="shared" si="2"/>
        <v>0</v>
      </c>
      <c r="O7" s="9">
        <v>0</v>
      </c>
      <c r="P7" s="9">
        <f t="shared" si="1"/>
        <v>0</v>
      </c>
    </row>
    <row r="8" spans="1:21" x14ac:dyDescent="0.25">
      <c r="A8" s="7" t="s">
        <v>113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  <c r="N8" s="9">
        <f t="shared" si="2"/>
        <v>0</v>
      </c>
      <c r="O8" s="9">
        <v>0</v>
      </c>
      <c r="P8" s="9">
        <f t="shared" si="1"/>
        <v>0</v>
      </c>
    </row>
    <row r="9" spans="1:21" ht="15.75" thickBot="1" x14ac:dyDescent="0.3">
      <c r="A9" s="55" t="s">
        <v>220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N9" s="9">
        <f t="shared" si="2"/>
        <v>0</v>
      </c>
      <c r="O9" s="9">
        <f>1282+632</f>
        <v>1914</v>
      </c>
      <c r="P9" s="9">
        <f t="shared" si="1"/>
        <v>-1914</v>
      </c>
    </row>
    <row r="10" spans="1:21" s="1" customFormat="1" ht="15.75" thickBot="1" x14ac:dyDescent="0.3">
      <c r="A10" s="10" t="s">
        <v>0</v>
      </c>
      <c r="B10" s="14">
        <f>SUM(B3:B9)</f>
        <v>441068</v>
      </c>
      <c r="C10" s="14">
        <f t="shared" ref="C10:N10" si="4">SUM(C3:C9)</f>
        <v>441068</v>
      </c>
      <c r="D10" s="14">
        <f t="shared" si="4"/>
        <v>441068</v>
      </c>
      <c r="E10" s="14">
        <f t="shared" si="4"/>
        <v>441068</v>
      </c>
      <c r="F10" s="14">
        <f t="shared" si="4"/>
        <v>459068</v>
      </c>
      <c r="G10" s="14">
        <f t="shared" si="4"/>
        <v>571068</v>
      </c>
      <c r="H10" s="14">
        <f t="shared" si="4"/>
        <v>576068</v>
      </c>
      <c r="I10" s="14">
        <f t="shared" si="4"/>
        <v>576068</v>
      </c>
      <c r="J10" s="14">
        <f t="shared" si="4"/>
        <v>446068</v>
      </c>
      <c r="K10" s="14">
        <f t="shared" si="4"/>
        <v>441068</v>
      </c>
      <c r="L10" s="14">
        <f t="shared" si="4"/>
        <v>441068</v>
      </c>
      <c r="M10" s="14">
        <f t="shared" si="4"/>
        <v>441068</v>
      </c>
      <c r="N10" s="14">
        <f t="shared" si="4"/>
        <v>5715816</v>
      </c>
      <c r="O10" s="14">
        <f>SUM(O3:O9)</f>
        <v>5504627</v>
      </c>
      <c r="P10" s="14">
        <f>SUM(P3:P9)</f>
        <v>211189</v>
      </c>
    </row>
    <row r="13" spans="1:21" ht="21.75" customHeight="1" thickBot="1" x14ac:dyDescent="0.3">
      <c r="A13" s="13" t="s">
        <v>118</v>
      </c>
    </row>
    <row r="14" spans="1:21" x14ac:dyDescent="0.25">
      <c r="A14" s="7"/>
      <c r="B14" s="11" t="s">
        <v>67</v>
      </c>
      <c r="C14" s="11" t="s">
        <v>68</v>
      </c>
      <c r="D14" s="11" t="s">
        <v>69</v>
      </c>
      <c r="E14" s="11" t="s">
        <v>70</v>
      </c>
      <c r="F14" s="11" t="s">
        <v>71</v>
      </c>
      <c r="G14" s="11" t="s">
        <v>72</v>
      </c>
      <c r="H14" s="11" t="s">
        <v>73</v>
      </c>
      <c r="I14" s="11" t="s">
        <v>74</v>
      </c>
      <c r="J14" s="11" t="s">
        <v>75</v>
      </c>
      <c r="K14" s="11" t="s">
        <v>76</v>
      </c>
      <c r="L14" s="11" t="s">
        <v>77</v>
      </c>
      <c r="M14" s="12" t="s">
        <v>78</v>
      </c>
      <c r="N14" s="8" t="s">
        <v>119</v>
      </c>
      <c r="O14" s="8" t="s">
        <v>120</v>
      </c>
      <c r="P14" s="8" t="s">
        <v>238</v>
      </c>
    </row>
    <row r="15" spans="1:21" x14ac:dyDescent="0.25">
      <c r="A15" s="22" t="s">
        <v>11</v>
      </c>
      <c r="B15" s="23">
        <v>150000</v>
      </c>
      <c r="C15" s="23">
        <v>150000</v>
      </c>
      <c r="D15" s="23">
        <v>155000</v>
      </c>
      <c r="E15" s="23">
        <v>155000</v>
      </c>
      <c r="F15" s="23">
        <v>165000</v>
      </c>
      <c r="G15" s="23">
        <v>200000</v>
      </c>
      <c r="H15" s="23">
        <v>200000</v>
      </c>
      <c r="I15" s="23">
        <v>200000</v>
      </c>
      <c r="J15" s="23">
        <v>170000</v>
      </c>
      <c r="K15" s="23">
        <v>155000</v>
      </c>
      <c r="L15" s="23">
        <v>150000</v>
      </c>
      <c r="M15" s="24">
        <v>150000</v>
      </c>
      <c r="N15" s="9">
        <f>SUM(B15:M15)</f>
        <v>2000000</v>
      </c>
      <c r="O15" s="9">
        <f>1873186+62579</f>
        <v>1935765</v>
      </c>
      <c r="P15" s="9">
        <f t="shared" ref="P15:P35" si="5">N15-O15</f>
        <v>64235</v>
      </c>
      <c r="Q15" t="s">
        <v>216</v>
      </c>
      <c r="U15" s="54">
        <f>N15/O15-1</f>
        <v>3.3183263464315216E-2</v>
      </c>
    </row>
    <row r="16" spans="1:21" x14ac:dyDescent="0.25">
      <c r="A16" s="22" t="s">
        <v>12</v>
      </c>
      <c r="B16" s="23">
        <v>42000</v>
      </c>
      <c r="C16" s="23">
        <v>42000</v>
      </c>
      <c r="D16" s="23">
        <v>42000</v>
      </c>
      <c r="E16" s="23">
        <v>42000</v>
      </c>
      <c r="F16" s="23">
        <v>42000</v>
      </c>
      <c r="G16" s="23">
        <v>42000</v>
      </c>
      <c r="H16" s="23">
        <v>42000</v>
      </c>
      <c r="I16" s="23">
        <v>42000</v>
      </c>
      <c r="J16" s="23">
        <v>42000</v>
      </c>
      <c r="K16" s="23">
        <v>42000</v>
      </c>
      <c r="L16" s="23">
        <v>42000</v>
      </c>
      <c r="M16" s="23">
        <v>42000</v>
      </c>
      <c r="N16" s="9">
        <f t="shared" ref="N16:N35" si="6">SUM(B16:M16)</f>
        <v>504000</v>
      </c>
      <c r="O16" s="9">
        <v>480532</v>
      </c>
      <c r="P16" s="9">
        <f t="shared" si="5"/>
        <v>23468</v>
      </c>
      <c r="U16" s="54"/>
    </row>
    <row r="17" spans="1:23" x14ac:dyDescent="0.25">
      <c r="A17" s="22" t="s">
        <v>13</v>
      </c>
      <c r="B17" s="23">
        <v>20000</v>
      </c>
      <c r="C17" s="23">
        <v>20000</v>
      </c>
      <c r="D17" s="23">
        <v>20000</v>
      </c>
      <c r="E17" s="23">
        <v>20000</v>
      </c>
      <c r="F17" s="23">
        <v>20000</v>
      </c>
      <c r="G17" s="23">
        <f>19000*1.5</f>
        <v>28500</v>
      </c>
      <c r="H17" s="23">
        <f>19000*2</f>
        <v>38000</v>
      </c>
      <c r="I17" s="23">
        <f>19000*2</f>
        <v>38000</v>
      </c>
      <c r="J17" s="23">
        <v>20000</v>
      </c>
      <c r="K17" s="23">
        <v>20000</v>
      </c>
      <c r="L17" s="23">
        <v>20000</v>
      </c>
      <c r="M17" s="23">
        <v>20000</v>
      </c>
      <c r="N17" s="9">
        <f t="shared" si="6"/>
        <v>284500</v>
      </c>
      <c r="O17" s="9">
        <v>262095</v>
      </c>
      <c r="P17" s="9">
        <f t="shared" si="5"/>
        <v>22405</v>
      </c>
      <c r="Q17" t="s">
        <v>216</v>
      </c>
      <c r="U17" s="54">
        <f t="shared" ref="U17:U18" si="7">N17/O17-1</f>
        <v>8.5484270970449749E-2</v>
      </c>
    </row>
    <row r="18" spans="1:23" x14ac:dyDescent="0.25">
      <c r="A18" s="22" t="s">
        <v>14</v>
      </c>
      <c r="B18" s="23">
        <v>25000</v>
      </c>
      <c r="C18" s="23">
        <v>25000</v>
      </c>
      <c r="D18" s="23">
        <v>25000</v>
      </c>
      <c r="E18" s="23">
        <v>25000</v>
      </c>
      <c r="F18" s="23">
        <v>35000</v>
      </c>
      <c r="G18" s="23">
        <v>35000</v>
      </c>
      <c r="H18" s="23">
        <v>35000</v>
      </c>
      <c r="I18" s="23">
        <v>35000</v>
      </c>
      <c r="J18" s="23">
        <v>20000</v>
      </c>
      <c r="K18" s="23">
        <v>20000</v>
      </c>
      <c r="L18" s="23">
        <v>20000</v>
      </c>
      <c r="M18" s="23">
        <v>20000</v>
      </c>
      <c r="N18" s="9">
        <f t="shared" si="6"/>
        <v>320000</v>
      </c>
      <c r="O18" s="9">
        <v>227935</v>
      </c>
      <c r="P18" s="9">
        <f t="shared" si="5"/>
        <v>92065</v>
      </c>
      <c r="Q18" t="s">
        <v>216</v>
      </c>
      <c r="U18" s="54">
        <f t="shared" si="7"/>
        <v>0.40390900914734473</v>
      </c>
    </row>
    <row r="19" spans="1:23" x14ac:dyDescent="0.25">
      <c r="A19" s="22" t="s">
        <v>21</v>
      </c>
      <c r="B19" s="23">
        <v>30000</v>
      </c>
      <c r="C19" s="23">
        <v>30000</v>
      </c>
      <c r="D19" s="23">
        <v>30000</v>
      </c>
      <c r="E19" s="23">
        <v>30000</v>
      </c>
      <c r="F19" s="23">
        <v>30000</v>
      </c>
      <c r="G19" s="23">
        <v>30000</v>
      </c>
      <c r="H19" s="23">
        <v>30000</v>
      </c>
      <c r="I19" s="23">
        <v>30000</v>
      </c>
      <c r="J19" s="23">
        <v>30000</v>
      </c>
      <c r="K19" s="23">
        <v>30000</v>
      </c>
      <c r="L19" s="23">
        <v>30000</v>
      </c>
      <c r="M19" s="23">
        <v>30000</v>
      </c>
      <c r="N19" s="9">
        <f>SUM(B19:M19)</f>
        <v>360000</v>
      </c>
      <c r="O19" s="9">
        <f>427964+6646+6150</f>
        <v>440760</v>
      </c>
      <c r="P19" s="9">
        <f t="shared" si="5"/>
        <v>-80760</v>
      </c>
    </row>
    <row r="20" spans="1:23" x14ac:dyDescent="0.25">
      <c r="A20" s="22" t="s">
        <v>15</v>
      </c>
      <c r="B20" s="23">
        <f>32000*1.57</f>
        <v>50240</v>
      </c>
      <c r="C20" s="23">
        <f t="shared" ref="C20" si="8">32000*1.57</f>
        <v>50240</v>
      </c>
      <c r="D20" s="23">
        <f>24000*1.57</f>
        <v>37680</v>
      </c>
      <c r="E20" s="23">
        <f>20000*1.57</f>
        <v>31400</v>
      </c>
      <c r="F20" s="23">
        <f>29000*1.3</f>
        <v>37700</v>
      </c>
      <c r="G20" s="23">
        <f>37000*1.05</f>
        <v>38850</v>
      </c>
      <c r="H20" s="23">
        <f>50000*1.05</f>
        <v>52500</v>
      </c>
      <c r="I20" s="23">
        <f>56000*1.05</f>
        <v>58800</v>
      </c>
      <c r="J20" s="23">
        <f>38000*1.05</f>
        <v>39900</v>
      </c>
      <c r="K20" s="23">
        <f>35000*1.05</f>
        <v>36750</v>
      </c>
      <c r="L20" s="23">
        <f>21000*1.05</f>
        <v>22050</v>
      </c>
      <c r="M20" s="23">
        <f>32000*1.05</f>
        <v>33600</v>
      </c>
      <c r="N20" s="9">
        <f t="shared" si="6"/>
        <v>489710</v>
      </c>
      <c r="O20" s="9">
        <v>416860</v>
      </c>
      <c r="P20" s="9">
        <f t="shared" si="5"/>
        <v>72850</v>
      </c>
      <c r="Q20" s="28" t="s">
        <v>228</v>
      </c>
      <c r="R20" s="28"/>
      <c r="S20" s="28"/>
      <c r="T20" s="28"/>
      <c r="U20" s="28"/>
      <c r="V20" s="28"/>
      <c r="W20" s="28"/>
    </row>
    <row r="21" spans="1:23" x14ac:dyDescent="0.25">
      <c r="A21" s="22" t="s">
        <v>19</v>
      </c>
      <c r="B21" s="23">
        <v>11000</v>
      </c>
      <c r="C21" s="23">
        <v>11000</v>
      </c>
      <c r="D21" s="23">
        <v>5000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2000</v>
      </c>
      <c r="K21" s="23">
        <v>5000</v>
      </c>
      <c r="L21" s="23">
        <v>11000</v>
      </c>
      <c r="M21" s="24">
        <v>11000</v>
      </c>
      <c r="N21" s="9">
        <f>SUM(B21:M21)</f>
        <v>56000</v>
      </c>
      <c r="O21" s="9">
        <v>178456</v>
      </c>
      <c r="P21" s="9">
        <f t="shared" si="5"/>
        <v>-122456</v>
      </c>
      <c r="Q21" s="28" t="s">
        <v>227</v>
      </c>
      <c r="R21" s="28"/>
      <c r="S21" s="28"/>
      <c r="T21" s="28"/>
    </row>
    <row r="22" spans="1:23" x14ac:dyDescent="0.25">
      <c r="A22" s="22" t="s">
        <v>16</v>
      </c>
      <c r="B22" s="23">
        <v>26000</v>
      </c>
      <c r="C22" s="23">
        <v>26000</v>
      </c>
      <c r="D22" s="23">
        <v>26000</v>
      </c>
      <c r="E22" s="23">
        <v>26000</v>
      </c>
      <c r="F22" s="23">
        <v>44000</v>
      </c>
      <c r="G22" s="23">
        <v>44000</v>
      </c>
      <c r="H22" s="23">
        <v>60000</v>
      </c>
      <c r="I22" s="23">
        <v>60000</v>
      </c>
      <c r="J22" s="23">
        <v>35000</v>
      </c>
      <c r="K22" s="23">
        <v>35000</v>
      </c>
      <c r="L22" s="23">
        <v>26000</v>
      </c>
      <c r="M22" s="24">
        <v>26000</v>
      </c>
      <c r="N22" s="9">
        <f t="shared" si="6"/>
        <v>434000</v>
      </c>
      <c r="O22" s="9">
        <f>362919+(32856+3774)</f>
        <v>399549</v>
      </c>
      <c r="P22" s="9">
        <f t="shared" si="5"/>
        <v>34451</v>
      </c>
    </row>
    <row r="23" spans="1:23" x14ac:dyDescent="0.25">
      <c r="A23" s="22" t="s">
        <v>17</v>
      </c>
      <c r="B23" s="23">
        <f>(19600+18200)/2</f>
        <v>18900</v>
      </c>
      <c r="C23" s="23">
        <f t="shared" ref="C23:M23" si="9">(19600+18200)/2</f>
        <v>18900</v>
      </c>
      <c r="D23" s="23">
        <f t="shared" si="9"/>
        <v>18900</v>
      </c>
      <c r="E23" s="23">
        <f t="shared" si="9"/>
        <v>18900</v>
      </c>
      <c r="F23" s="23">
        <f t="shared" si="9"/>
        <v>18900</v>
      </c>
      <c r="G23" s="23">
        <f t="shared" si="9"/>
        <v>18900</v>
      </c>
      <c r="H23" s="23">
        <f t="shared" si="9"/>
        <v>18900</v>
      </c>
      <c r="I23" s="23">
        <f t="shared" si="9"/>
        <v>18900</v>
      </c>
      <c r="J23" s="23">
        <f t="shared" si="9"/>
        <v>18900</v>
      </c>
      <c r="K23" s="23">
        <f t="shared" si="9"/>
        <v>18900</v>
      </c>
      <c r="L23" s="23">
        <f t="shared" si="9"/>
        <v>18900</v>
      </c>
      <c r="M23" s="23">
        <f t="shared" si="9"/>
        <v>18900</v>
      </c>
      <c r="N23" s="9">
        <f t="shared" si="6"/>
        <v>226800</v>
      </c>
      <c r="O23" s="9">
        <v>223565</v>
      </c>
      <c r="P23" s="9">
        <f t="shared" si="5"/>
        <v>3235</v>
      </c>
    </row>
    <row r="24" spans="1:23" x14ac:dyDescent="0.25">
      <c r="A24" s="22" t="s">
        <v>18</v>
      </c>
      <c r="B24" s="23">
        <v>2300</v>
      </c>
      <c r="C24" s="23">
        <v>2300</v>
      </c>
      <c r="D24" s="23">
        <v>2300</v>
      </c>
      <c r="E24" s="23">
        <v>2300</v>
      </c>
      <c r="F24" s="23">
        <v>2300</v>
      </c>
      <c r="G24" s="23">
        <v>3100</v>
      </c>
      <c r="H24" s="23">
        <v>3100</v>
      </c>
      <c r="I24" s="23">
        <v>3100</v>
      </c>
      <c r="J24" s="23">
        <v>2300</v>
      </c>
      <c r="K24" s="23">
        <v>2300</v>
      </c>
      <c r="L24" s="23">
        <v>2300</v>
      </c>
      <c r="M24" s="24">
        <v>2300</v>
      </c>
      <c r="N24" s="9">
        <f t="shared" si="6"/>
        <v>30000</v>
      </c>
      <c r="O24" s="9">
        <v>29123</v>
      </c>
      <c r="P24" s="9">
        <f t="shared" si="5"/>
        <v>877</v>
      </c>
    </row>
    <row r="25" spans="1:23" x14ac:dyDescent="0.25">
      <c r="A25" s="22" t="s">
        <v>114</v>
      </c>
      <c r="B25" s="23">
        <v>2100</v>
      </c>
      <c r="C25" s="23">
        <v>2100</v>
      </c>
      <c r="D25" s="23">
        <v>2100</v>
      </c>
      <c r="E25" s="23">
        <v>2100</v>
      </c>
      <c r="F25" s="23">
        <v>2100</v>
      </c>
      <c r="G25" s="23">
        <v>2100</v>
      </c>
      <c r="H25" s="23">
        <v>2100</v>
      </c>
      <c r="I25" s="23">
        <v>2100</v>
      </c>
      <c r="J25" s="23">
        <v>2100</v>
      </c>
      <c r="K25" s="23">
        <v>2100</v>
      </c>
      <c r="L25" s="23">
        <v>2100</v>
      </c>
      <c r="M25" s="24">
        <v>2100</v>
      </c>
      <c r="N25" s="9">
        <f t="shared" si="6"/>
        <v>25200</v>
      </c>
      <c r="O25" s="9">
        <f>7242+13305+4400</f>
        <v>24947</v>
      </c>
      <c r="P25" s="9">
        <f t="shared" si="5"/>
        <v>253</v>
      </c>
    </row>
    <row r="26" spans="1:23" x14ac:dyDescent="0.25">
      <c r="A26" s="22" t="s">
        <v>222</v>
      </c>
      <c r="B26" s="23">
        <v>1000</v>
      </c>
      <c r="C26" s="23">
        <v>1000</v>
      </c>
      <c r="D26" s="23">
        <v>1000</v>
      </c>
      <c r="E26" s="23">
        <v>1000</v>
      </c>
      <c r="F26" s="23">
        <v>1000</v>
      </c>
      <c r="G26" s="23">
        <v>1000</v>
      </c>
      <c r="H26" s="23">
        <v>1000</v>
      </c>
      <c r="I26" s="23">
        <v>1000</v>
      </c>
      <c r="J26" s="23">
        <v>1000</v>
      </c>
      <c r="K26" s="23">
        <v>1000</v>
      </c>
      <c r="L26" s="23">
        <v>1000</v>
      </c>
      <c r="M26" s="24">
        <v>1000</v>
      </c>
      <c r="N26" s="9">
        <f t="shared" si="6"/>
        <v>12000</v>
      </c>
      <c r="O26" s="9">
        <f>2377+2400+435+3706+2663+4368</f>
        <v>15949</v>
      </c>
      <c r="P26" s="9">
        <f t="shared" si="5"/>
        <v>-3949</v>
      </c>
    </row>
    <row r="27" spans="1:23" x14ac:dyDescent="0.25">
      <c r="A27" s="22" t="s">
        <v>221</v>
      </c>
      <c r="B27" s="23">
        <v>3000</v>
      </c>
      <c r="C27" s="23">
        <v>3000</v>
      </c>
      <c r="D27" s="23">
        <v>3000</v>
      </c>
      <c r="E27" s="23">
        <v>3000</v>
      </c>
      <c r="F27" s="23">
        <v>3000</v>
      </c>
      <c r="G27" s="23">
        <v>3000</v>
      </c>
      <c r="H27" s="23">
        <v>3000</v>
      </c>
      <c r="I27" s="23">
        <v>3000</v>
      </c>
      <c r="J27" s="23">
        <v>3000</v>
      </c>
      <c r="K27" s="23">
        <v>3000</v>
      </c>
      <c r="L27" s="23">
        <v>3000</v>
      </c>
      <c r="M27" s="23">
        <v>3000</v>
      </c>
      <c r="N27" s="9">
        <f t="shared" si="6"/>
        <v>36000</v>
      </c>
      <c r="O27" s="9">
        <v>27333</v>
      </c>
      <c r="P27" s="9">
        <f t="shared" si="5"/>
        <v>8667</v>
      </c>
    </row>
    <row r="28" spans="1:23" x14ac:dyDescent="0.25">
      <c r="A28" s="22" t="s">
        <v>26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5000</v>
      </c>
      <c r="H28" s="23">
        <v>20000</v>
      </c>
      <c r="I28" s="23">
        <v>20000</v>
      </c>
      <c r="J28" s="23">
        <v>2000</v>
      </c>
      <c r="K28" s="23">
        <v>0</v>
      </c>
      <c r="L28" s="23">
        <v>0</v>
      </c>
      <c r="M28" s="24">
        <v>0</v>
      </c>
      <c r="N28" s="9">
        <f t="shared" si="6"/>
        <v>47000</v>
      </c>
      <c r="O28" s="9">
        <v>45614</v>
      </c>
      <c r="P28" s="9">
        <f t="shared" si="5"/>
        <v>1386</v>
      </c>
    </row>
    <row r="29" spans="1:23" x14ac:dyDescent="0.25">
      <c r="A29" s="22" t="s">
        <v>22</v>
      </c>
      <c r="B29" s="23">
        <v>1000</v>
      </c>
      <c r="C29" s="23">
        <v>1000</v>
      </c>
      <c r="D29" s="23">
        <v>1000</v>
      </c>
      <c r="E29" s="23">
        <v>1000</v>
      </c>
      <c r="F29" s="23">
        <v>1000</v>
      </c>
      <c r="G29" s="23">
        <v>1000</v>
      </c>
      <c r="H29" s="23">
        <v>1000</v>
      </c>
      <c r="I29" s="23">
        <v>1000</v>
      </c>
      <c r="J29" s="23">
        <v>1000</v>
      </c>
      <c r="K29" s="23">
        <v>1000</v>
      </c>
      <c r="L29" s="23">
        <v>1000</v>
      </c>
      <c r="M29" s="23">
        <v>1000</v>
      </c>
      <c r="N29" s="9">
        <f t="shared" si="6"/>
        <v>12000</v>
      </c>
      <c r="O29" s="9">
        <v>24945</v>
      </c>
      <c r="P29" s="9">
        <f t="shared" si="5"/>
        <v>-12945</v>
      </c>
    </row>
    <row r="30" spans="1:23" x14ac:dyDescent="0.25">
      <c r="A30" s="22" t="s">
        <v>23</v>
      </c>
      <c r="B30" s="23">
        <v>5000</v>
      </c>
      <c r="C30" s="23">
        <v>5000</v>
      </c>
      <c r="D30" s="23">
        <v>5000</v>
      </c>
      <c r="E30" s="23">
        <v>5000</v>
      </c>
      <c r="F30" s="23">
        <v>5000</v>
      </c>
      <c r="G30" s="23">
        <v>5000</v>
      </c>
      <c r="H30" s="23">
        <v>5000</v>
      </c>
      <c r="I30" s="23">
        <v>5000</v>
      </c>
      <c r="J30" s="23">
        <v>5000</v>
      </c>
      <c r="K30" s="23">
        <v>5000</v>
      </c>
      <c r="L30" s="23">
        <v>5000</v>
      </c>
      <c r="M30" s="24">
        <v>5000</v>
      </c>
      <c r="N30" s="9">
        <f t="shared" si="6"/>
        <v>60000</v>
      </c>
      <c r="O30" s="9">
        <v>61386</v>
      </c>
      <c r="P30" s="9">
        <f t="shared" si="5"/>
        <v>-1386</v>
      </c>
    </row>
    <row r="31" spans="1:23" x14ac:dyDescent="0.25">
      <c r="A31" s="22" t="s">
        <v>24</v>
      </c>
      <c r="B31" s="23">
        <v>4500</v>
      </c>
      <c r="C31" s="23">
        <v>4500</v>
      </c>
      <c r="D31" s="23">
        <v>8000</v>
      </c>
      <c r="E31" s="23">
        <f>34000+4500</f>
        <v>38500</v>
      </c>
      <c r="F31" s="23">
        <v>7000</v>
      </c>
      <c r="G31" s="23">
        <v>6000</v>
      </c>
      <c r="H31" s="23">
        <v>5000</v>
      </c>
      <c r="I31" s="23">
        <v>4500</v>
      </c>
      <c r="J31" s="23">
        <v>4500</v>
      </c>
      <c r="K31" s="23">
        <v>4500</v>
      </c>
      <c r="L31" s="23">
        <v>1500</v>
      </c>
      <c r="M31" s="24">
        <v>1500</v>
      </c>
      <c r="N31" s="9">
        <f t="shared" si="6"/>
        <v>90000</v>
      </c>
      <c r="O31" s="9">
        <v>14557</v>
      </c>
      <c r="P31" s="9">
        <f t="shared" si="5"/>
        <v>75443</v>
      </c>
      <c r="Q31" t="s">
        <v>239</v>
      </c>
    </row>
    <row r="32" spans="1:23" x14ac:dyDescent="0.25">
      <c r="A32" s="22" t="s">
        <v>25</v>
      </c>
      <c r="B32" s="23">
        <v>2750</v>
      </c>
      <c r="C32" s="23">
        <v>2750</v>
      </c>
      <c r="D32" s="23">
        <v>2750</v>
      </c>
      <c r="E32" s="23">
        <v>2750</v>
      </c>
      <c r="F32" s="23">
        <v>2750</v>
      </c>
      <c r="G32" s="23">
        <v>2750</v>
      </c>
      <c r="H32" s="23">
        <v>2750</v>
      </c>
      <c r="I32" s="23">
        <v>2750</v>
      </c>
      <c r="J32" s="23">
        <v>2750</v>
      </c>
      <c r="K32" s="23">
        <v>2750</v>
      </c>
      <c r="L32" s="23">
        <v>2750</v>
      </c>
      <c r="M32" s="24">
        <v>2750</v>
      </c>
      <c r="N32" s="9">
        <f t="shared" si="6"/>
        <v>33000</v>
      </c>
      <c r="O32" s="9">
        <v>32614</v>
      </c>
      <c r="P32" s="9">
        <f t="shared" si="5"/>
        <v>386</v>
      </c>
    </row>
    <row r="33" spans="1:16" x14ac:dyDescent="0.25">
      <c r="A33" s="22" t="s">
        <v>217</v>
      </c>
      <c r="B33" s="23">
        <f>ROUND((12000*3.8)/12,-2)</f>
        <v>3800</v>
      </c>
      <c r="C33" s="23">
        <f t="shared" ref="C33:M33" si="10">ROUND((12000*3.8)/12,-2)</f>
        <v>3800</v>
      </c>
      <c r="D33" s="23">
        <f t="shared" si="10"/>
        <v>3800</v>
      </c>
      <c r="E33" s="23">
        <f t="shared" si="10"/>
        <v>3800</v>
      </c>
      <c r="F33" s="23">
        <f t="shared" si="10"/>
        <v>3800</v>
      </c>
      <c r="G33" s="23">
        <f t="shared" si="10"/>
        <v>3800</v>
      </c>
      <c r="H33" s="23">
        <f t="shared" si="10"/>
        <v>3800</v>
      </c>
      <c r="I33" s="23">
        <f t="shared" si="10"/>
        <v>3800</v>
      </c>
      <c r="J33" s="23">
        <f t="shared" si="10"/>
        <v>3800</v>
      </c>
      <c r="K33" s="23">
        <f t="shared" si="10"/>
        <v>3800</v>
      </c>
      <c r="L33" s="23">
        <f t="shared" si="10"/>
        <v>3800</v>
      </c>
      <c r="M33" s="23">
        <f t="shared" si="10"/>
        <v>3800</v>
      </c>
      <c r="N33" s="9">
        <f t="shared" si="6"/>
        <v>45600</v>
      </c>
      <c r="O33" s="9">
        <v>46140</v>
      </c>
      <c r="P33" s="9">
        <f t="shared" si="5"/>
        <v>-540</v>
      </c>
    </row>
    <row r="34" spans="1:16" x14ac:dyDescent="0.25">
      <c r="A34" s="18" t="s">
        <v>107</v>
      </c>
      <c r="B34" s="19">
        <f>((13000*1.17)*20%)+5000</f>
        <v>8042</v>
      </c>
      <c r="C34" s="19">
        <f t="shared" ref="C34:M34" si="11">((13000*1.17)*20%)+5000</f>
        <v>8042</v>
      </c>
      <c r="D34" s="19">
        <f t="shared" si="11"/>
        <v>8042</v>
      </c>
      <c r="E34" s="19">
        <f t="shared" si="11"/>
        <v>8042</v>
      </c>
      <c r="F34" s="19">
        <f t="shared" si="11"/>
        <v>8042</v>
      </c>
      <c r="G34" s="19">
        <f t="shared" si="11"/>
        <v>8042</v>
      </c>
      <c r="H34" s="19">
        <f t="shared" si="11"/>
        <v>8042</v>
      </c>
      <c r="I34" s="19">
        <f t="shared" si="11"/>
        <v>8042</v>
      </c>
      <c r="J34" s="19">
        <f t="shared" si="11"/>
        <v>8042</v>
      </c>
      <c r="K34" s="19">
        <f t="shared" si="11"/>
        <v>8042</v>
      </c>
      <c r="L34" s="19">
        <f t="shared" si="11"/>
        <v>8042</v>
      </c>
      <c r="M34" s="19">
        <f t="shared" si="11"/>
        <v>8042</v>
      </c>
      <c r="N34" s="9">
        <f t="shared" si="6"/>
        <v>96504</v>
      </c>
      <c r="O34" s="9"/>
      <c r="P34" s="9">
        <f t="shared" si="5"/>
        <v>96504</v>
      </c>
    </row>
    <row r="35" spans="1:16" ht="15.75" thickBot="1" x14ac:dyDescent="0.3">
      <c r="A35" s="64" t="s">
        <v>108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6"/>
      <c r="N35" s="9">
        <f t="shared" si="6"/>
        <v>0</v>
      </c>
      <c r="O35" s="9"/>
      <c r="P35" s="9">
        <f t="shared" si="5"/>
        <v>0</v>
      </c>
    </row>
    <row r="36" spans="1:16" s="1" customFormat="1" ht="15.75" thickBot="1" x14ac:dyDescent="0.3">
      <c r="A36" s="10" t="s">
        <v>1</v>
      </c>
      <c r="B36" s="14">
        <f>SUM(B15:B35)</f>
        <v>406632</v>
      </c>
      <c r="C36" s="14">
        <f t="shared" ref="C36:M36" si="12">SUM(C15:C35)</f>
        <v>406632</v>
      </c>
      <c r="D36" s="14">
        <f t="shared" si="12"/>
        <v>396572</v>
      </c>
      <c r="E36" s="14">
        <f t="shared" si="12"/>
        <v>415792</v>
      </c>
      <c r="F36" s="14">
        <f t="shared" si="12"/>
        <v>428592</v>
      </c>
      <c r="G36" s="14">
        <f t="shared" si="12"/>
        <v>478042</v>
      </c>
      <c r="H36" s="14">
        <f t="shared" si="12"/>
        <v>531192</v>
      </c>
      <c r="I36" s="14">
        <f t="shared" si="12"/>
        <v>536992</v>
      </c>
      <c r="J36" s="14">
        <f t="shared" si="12"/>
        <v>413292</v>
      </c>
      <c r="K36" s="14">
        <f t="shared" si="12"/>
        <v>396142</v>
      </c>
      <c r="L36" s="14">
        <f t="shared" si="12"/>
        <v>370442</v>
      </c>
      <c r="M36" s="15">
        <f t="shared" si="12"/>
        <v>381992</v>
      </c>
      <c r="N36" s="16">
        <f>SUM(N15:N35)</f>
        <v>5162314</v>
      </c>
      <c r="O36" s="16">
        <f>SUM(O15:O35)</f>
        <v>4888125</v>
      </c>
      <c r="P36" s="16">
        <f>SUM(P15:P35)</f>
        <v>274189</v>
      </c>
    </row>
    <row r="37" spans="1:16" ht="15.75" thickBot="1" x14ac:dyDescent="0.3"/>
    <row r="38" spans="1:16" s="1" customFormat="1" ht="15.75" thickBot="1" x14ac:dyDescent="0.3">
      <c r="A38" s="29" t="s">
        <v>121</v>
      </c>
      <c r="B38" s="30">
        <f>B10-B36</f>
        <v>34436</v>
      </c>
      <c r="C38" s="30">
        <f t="shared" ref="C38:P38" si="13">C10-C36</f>
        <v>34436</v>
      </c>
      <c r="D38" s="30">
        <f t="shared" si="13"/>
        <v>44496</v>
      </c>
      <c r="E38" s="30">
        <f t="shared" si="13"/>
        <v>25276</v>
      </c>
      <c r="F38" s="30">
        <f t="shared" si="13"/>
        <v>30476</v>
      </c>
      <c r="G38" s="30">
        <f t="shared" si="13"/>
        <v>93026</v>
      </c>
      <c r="H38" s="30">
        <f t="shared" si="13"/>
        <v>44876</v>
      </c>
      <c r="I38" s="30">
        <f t="shared" si="13"/>
        <v>39076</v>
      </c>
      <c r="J38" s="30">
        <f t="shared" si="13"/>
        <v>32776</v>
      </c>
      <c r="K38" s="30">
        <f t="shared" si="13"/>
        <v>44926</v>
      </c>
      <c r="L38" s="30">
        <f t="shared" si="13"/>
        <v>70626</v>
      </c>
      <c r="M38" s="31">
        <f t="shared" si="13"/>
        <v>59076</v>
      </c>
      <c r="N38" s="32">
        <f t="shared" si="13"/>
        <v>553502</v>
      </c>
      <c r="O38" s="32">
        <f t="shared" si="13"/>
        <v>616502</v>
      </c>
      <c r="P38" s="32">
        <f t="shared" si="13"/>
        <v>-63000</v>
      </c>
    </row>
    <row r="40" spans="1:16" x14ac:dyDescent="0.25">
      <c r="N40" s="17"/>
      <c r="O40" s="17"/>
      <c r="P40" s="17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GridLines="0" rightToLeft="1" zoomScaleNormal="100" workbookViewId="0">
      <selection activeCell="A2" sqref="A2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3" ht="21.75" customHeight="1" thickBot="1" x14ac:dyDescent="0.3">
      <c r="A1" s="13" t="s">
        <v>115</v>
      </c>
    </row>
    <row r="2" spans="1:23" x14ac:dyDescent="0.25">
      <c r="A2" s="7"/>
      <c r="B2" s="11" t="s">
        <v>67</v>
      </c>
      <c r="C2" s="11" t="s">
        <v>68</v>
      </c>
      <c r="D2" s="11" t="s">
        <v>69</v>
      </c>
      <c r="E2" s="11" t="s">
        <v>70</v>
      </c>
      <c r="F2" s="11" t="s">
        <v>71</v>
      </c>
      <c r="G2" s="11" t="s">
        <v>72</v>
      </c>
      <c r="H2" s="11" t="s">
        <v>73</v>
      </c>
      <c r="I2" s="11" t="s">
        <v>74</v>
      </c>
      <c r="J2" s="11" t="s">
        <v>75</v>
      </c>
      <c r="K2" s="11" t="s">
        <v>76</v>
      </c>
      <c r="L2" s="11" t="s">
        <v>77</v>
      </c>
      <c r="M2" s="12" t="s">
        <v>78</v>
      </c>
      <c r="N2" s="8" t="s">
        <v>119</v>
      </c>
      <c r="O2" s="8" t="s">
        <v>120</v>
      </c>
      <c r="P2" s="8" t="s">
        <v>238</v>
      </c>
    </row>
    <row r="3" spans="1:23" x14ac:dyDescent="0.25">
      <c r="A3" s="7" t="s">
        <v>109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9">
        <f>SUM(B3:M3)</f>
        <v>0</v>
      </c>
      <c r="O3" s="9"/>
      <c r="P3" s="9">
        <f>N3-O3</f>
        <v>0</v>
      </c>
      <c r="Q3" s="28"/>
      <c r="R3" s="28"/>
      <c r="S3" s="28"/>
      <c r="T3" s="28"/>
      <c r="U3" s="28"/>
      <c r="V3" s="28"/>
      <c r="W3" s="28"/>
    </row>
    <row r="4" spans="1:23" x14ac:dyDescent="0.25">
      <c r="A4" s="21" t="s">
        <v>110</v>
      </c>
      <c r="B4" s="23">
        <v>0</v>
      </c>
      <c r="C4" s="23">
        <v>0</v>
      </c>
      <c r="D4" s="23">
        <v>0</v>
      </c>
      <c r="E4" s="23">
        <v>0</v>
      </c>
      <c r="F4" s="23">
        <v>5000</v>
      </c>
      <c r="G4" s="23">
        <v>60000</v>
      </c>
      <c r="H4" s="23">
        <v>130000</v>
      </c>
      <c r="I4" s="23">
        <v>120000</v>
      </c>
      <c r="J4" s="23">
        <v>0</v>
      </c>
      <c r="K4" s="23">
        <v>0</v>
      </c>
      <c r="L4" s="23">
        <v>0</v>
      </c>
      <c r="M4" s="24">
        <v>0</v>
      </c>
      <c r="N4" s="9">
        <f>SUM(B4:M4)</f>
        <v>315000</v>
      </c>
      <c r="O4" s="9">
        <v>303333</v>
      </c>
      <c r="P4" s="9">
        <f t="shared" ref="P4:P7" si="0">N4-O4</f>
        <v>11667</v>
      </c>
    </row>
    <row r="5" spans="1:23" x14ac:dyDescent="0.25">
      <c r="A5" s="21" t="s">
        <v>111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  <c r="N5" s="9">
        <f t="shared" ref="N5:N7" si="1">SUM(B5:M5)</f>
        <v>0</v>
      </c>
      <c r="O5" s="9"/>
      <c r="P5" s="9">
        <f t="shared" si="0"/>
        <v>0</v>
      </c>
    </row>
    <row r="6" spans="1:23" x14ac:dyDescent="0.25">
      <c r="A6" s="7" t="s">
        <v>112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  <c r="N6" s="9">
        <f t="shared" si="1"/>
        <v>0</v>
      </c>
      <c r="O6" s="9"/>
      <c r="P6" s="9">
        <f t="shared" si="0"/>
        <v>0</v>
      </c>
      <c r="Q6" s="28"/>
      <c r="R6" s="28"/>
    </row>
    <row r="7" spans="1:23" ht="15.75" thickBot="1" x14ac:dyDescent="0.3">
      <c r="A7" s="7" t="s">
        <v>113</v>
      </c>
      <c r="B7" s="23">
        <v>0</v>
      </c>
      <c r="C7" s="23">
        <v>0</v>
      </c>
      <c r="D7" s="23">
        <v>4500</v>
      </c>
      <c r="E7" s="23">
        <v>0</v>
      </c>
      <c r="F7" s="23">
        <v>0</v>
      </c>
      <c r="G7" s="23">
        <v>5000</v>
      </c>
      <c r="H7" s="23">
        <v>5000</v>
      </c>
      <c r="I7" s="23">
        <v>40000</v>
      </c>
      <c r="J7" s="23">
        <v>0</v>
      </c>
      <c r="K7" s="23">
        <v>0</v>
      </c>
      <c r="L7" s="23">
        <v>0</v>
      </c>
      <c r="M7" s="24">
        <v>0</v>
      </c>
      <c r="N7" s="9">
        <f t="shared" si="1"/>
        <v>54500</v>
      </c>
      <c r="O7" s="9">
        <v>49763</v>
      </c>
      <c r="P7" s="9">
        <f t="shared" si="0"/>
        <v>4737</v>
      </c>
    </row>
    <row r="8" spans="1:23" s="1" customFormat="1" ht="15.75" thickBot="1" x14ac:dyDescent="0.3">
      <c r="A8" s="10" t="s">
        <v>0</v>
      </c>
      <c r="B8" s="14">
        <f>SUM(B3:B7)</f>
        <v>0</v>
      </c>
      <c r="C8" s="14">
        <f t="shared" ref="C8:M8" si="2">SUM(C3:C7)</f>
        <v>0</v>
      </c>
      <c r="D8" s="14">
        <f t="shared" si="2"/>
        <v>4500</v>
      </c>
      <c r="E8" s="14">
        <f t="shared" si="2"/>
        <v>0</v>
      </c>
      <c r="F8" s="14">
        <f t="shared" si="2"/>
        <v>5000</v>
      </c>
      <c r="G8" s="14">
        <f t="shared" si="2"/>
        <v>65000</v>
      </c>
      <c r="H8" s="14">
        <f t="shared" si="2"/>
        <v>135000</v>
      </c>
      <c r="I8" s="14">
        <f t="shared" si="2"/>
        <v>160000</v>
      </c>
      <c r="J8" s="14">
        <f t="shared" si="2"/>
        <v>0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6">
        <f>SUM(N3:N7)</f>
        <v>369500</v>
      </c>
      <c r="O8" s="16">
        <f>SUM(O3:O7)</f>
        <v>353096</v>
      </c>
      <c r="P8" s="16">
        <f>SUM(P3:P7)</f>
        <v>16404</v>
      </c>
    </row>
    <row r="11" spans="1:23" ht="21.75" customHeight="1" thickBot="1" x14ac:dyDescent="0.3">
      <c r="A11" s="13" t="s">
        <v>116</v>
      </c>
    </row>
    <row r="12" spans="1:23" x14ac:dyDescent="0.25">
      <c r="A12" s="7"/>
      <c r="B12" s="11" t="s">
        <v>67</v>
      </c>
      <c r="C12" s="11" t="s">
        <v>68</v>
      </c>
      <c r="D12" s="11" t="s">
        <v>69</v>
      </c>
      <c r="E12" s="11" t="s">
        <v>70</v>
      </c>
      <c r="F12" s="11" t="s">
        <v>71</v>
      </c>
      <c r="G12" s="11" t="s">
        <v>72</v>
      </c>
      <c r="H12" s="11" t="s">
        <v>73</v>
      </c>
      <c r="I12" s="11" t="s">
        <v>74</v>
      </c>
      <c r="J12" s="11" t="s">
        <v>75</v>
      </c>
      <c r="K12" s="11" t="s">
        <v>76</v>
      </c>
      <c r="L12" s="11" t="s">
        <v>77</v>
      </c>
      <c r="M12" s="12" t="s">
        <v>78</v>
      </c>
      <c r="N12" s="8" t="s">
        <v>119</v>
      </c>
      <c r="O12" s="8" t="s">
        <v>120</v>
      </c>
      <c r="P12" s="8" t="s">
        <v>238</v>
      </c>
    </row>
    <row r="13" spans="1:23" x14ac:dyDescent="0.25">
      <c r="A13" s="21" t="s">
        <v>11</v>
      </c>
      <c r="B13" s="23">
        <v>0</v>
      </c>
      <c r="C13" s="23">
        <v>0</v>
      </c>
      <c r="D13" s="23">
        <v>0</v>
      </c>
      <c r="E13" s="23">
        <v>0</v>
      </c>
      <c r="F13" s="23">
        <v>1000</v>
      </c>
      <c r="G13" s="23">
        <v>8500</v>
      </c>
      <c r="H13" s="23">
        <v>17000</v>
      </c>
      <c r="I13" s="23">
        <v>17000</v>
      </c>
      <c r="J13" s="23">
        <v>0</v>
      </c>
      <c r="K13" s="23">
        <v>0</v>
      </c>
      <c r="L13" s="23">
        <v>0</v>
      </c>
      <c r="M13" s="24">
        <v>0</v>
      </c>
      <c r="N13" s="9">
        <f>SUM(B13:M13)</f>
        <v>43500</v>
      </c>
      <c r="O13" s="9">
        <v>55431</v>
      </c>
      <c r="P13" s="9">
        <f>N13-O13</f>
        <v>-11931</v>
      </c>
    </row>
    <row r="14" spans="1:23" x14ac:dyDescent="0.25">
      <c r="A14" s="21" t="s">
        <v>13</v>
      </c>
      <c r="B14" s="23">
        <v>0</v>
      </c>
      <c r="C14" s="23">
        <v>0</v>
      </c>
      <c r="D14" s="23">
        <v>0</v>
      </c>
      <c r="E14" s="23">
        <v>0</v>
      </c>
      <c r="F14" s="23">
        <v>1000</v>
      </c>
      <c r="G14" s="23">
        <v>8500</v>
      </c>
      <c r="H14" s="23">
        <v>17000</v>
      </c>
      <c r="I14" s="23">
        <v>17000</v>
      </c>
      <c r="J14" s="23">
        <v>0</v>
      </c>
      <c r="K14" s="23">
        <v>0</v>
      </c>
      <c r="L14" s="23">
        <v>0</v>
      </c>
      <c r="M14" s="24">
        <v>0</v>
      </c>
      <c r="N14" s="9">
        <f t="shared" ref="N14:N29" si="3">SUM(B14:M14)</f>
        <v>43500</v>
      </c>
      <c r="O14" s="9">
        <v>43273</v>
      </c>
      <c r="P14" s="9">
        <f t="shared" ref="P14:P29" si="4">N14-O14</f>
        <v>227</v>
      </c>
    </row>
    <row r="15" spans="1:23" x14ac:dyDescent="0.25">
      <c r="A15" s="21" t="s">
        <v>14</v>
      </c>
      <c r="B15" s="23">
        <v>0</v>
      </c>
      <c r="C15" s="23">
        <v>0</v>
      </c>
      <c r="D15" s="23">
        <v>0</v>
      </c>
      <c r="E15" s="23">
        <v>0</v>
      </c>
      <c r="F15" s="23">
        <v>1000</v>
      </c>
      <c r="G15" s="23">
        <v>11000</v>
      </c>
      <c r="H15" s="23">
        <v>29000</v>
      </c>
      <c r="I15" s="23">
        <v>29000</v>
      </c>
      <c r="J15" s="23">
        <v>0</v>
      </c>
      <c r="K15" s="23">
        <v>0</v>
      </c>
      <c r="L15" s="23">
        <v>0</v>
      </c>
      <c r="M15" s="24">
        <v>0</v>
      </c>
      <c r="N15" s="9">
        <f t="shared" si="3"/>
        <v>70000</v>
      </c>
      <c r="O15" s="9">
        <v>71086</v>
      </c>
      <c r="P15" s="9">
        <f t="shared" si="4"/>
        <v>-1086</v>
      </c>
    </row>
    <row r="16" spans="1:23" x14ac:dyDescent="0.25">
      <c r="A16" s="21" t="s">
        <v>15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4">
        <v>0</v>
      </c>
      <c r="N16" s="9">
        <f t="shared" si="3"/>
        <v>0</v>
      </c>
      <c r="O16" s="9"/>
      <c r="P16" s="9">
        <f t="shared" si="4"/>
        <v>0</v>
      </c>
      <c r="Q16" s="28" t="s">
        <v>123</v>
      </c>
      <c r="R16" s="28"/>
      <c r="S16" s="28"/>
      <c r="T16" s="28"/>
    </row>
    <row r="17" spans="1:20" x14ac:dyDescent="0.25">
      <c r="A17" s="21" t="s">
        <v>16</v>
      </c>
      <c r="B17" s="23"/>
      <c r="C17" s="23"/>
      <c r="D17" s="23"/>
      <c r="E17" s="23"/>
      <c r="F17" s="23">
        <v>20000</v>
      </c>
      <c r="G17" s="23">
        <v>5000</v>
      </c>
      <c r="H17" s="23">
        <v>5000</v>
      </c>
      <c r="I17" s="23">
        <v>5000</v>
      </c>
      <c r="J17" s="23"/>
      <c r="K17" s="23"/>
      <c r="L17" s="23"/>
      <c r="M17" s="24"/>
      <c r="N17" s="9">
        <f t="shared" si="3"/>
        <v>35000</v>
      </c>
      <c r="O17" s="9">
        <v>0</v>
      </c>
      <c r="P17" s="9">
        <f t="shared" si="4"/>
        <v>35000</v>
      </c>
      <c r="Q17" s="28" t="s">
        <v>240</v>
      </c>
      <c r="R17" s="28"/>
      <c r="S17" s="28"/>
      <c r="T17" s="28"/>
    </row>
    <row r="18" spans="1:20" x14ac:dyDescent="0.25">
      <c r="A18" s="21" t="s">
        <v>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9">
        <f t="shared" si="3"/>
        <v>0</v>
      </c>
      <c r="O18" s="9"/>
      <c r="P18" s="9">
        <f t="shared" si="4"/>
        <v>0</v>
      </c>
      <c r="Q18" s="28" t="s">
        <v>122</v>
      </c>
      <c r="R18" s="28"/>
      <c r="S18" s="28"/>
      <c r="T18" s="28"/>
    </row>
    <row r="19" spans="1:20" x14ac:dyDescent="0.25">
      <c r="A19" s="21" t="s">
        <v>18</v>
      </c>
      <c r="B19" s="23"/>
      <c r="C19" s="23"/>
      <c r="D19" s="23"/>
      <c r="E19" s="23"/>
      <c r="F19" s="23">
        <v>200</v>
      </c>
      <c r="G19" s="23">
        <v>500</v>
      </c>
      <c r="H19" s="23">
        <v>500</v>
      </c>
      <c r="I19" s="23">
        <v>500</v>
      </c>
      <c r="J19" s="23"/>
      <c r="K19" s="23"/>
      <c r="L19" s="23"/>
      <c r="M19" s="24"/>
      <c r="N19" s="9">
        <f t="shared" si="3"/>
        <v>1700</v>
      </c>
      <c r="O19" s="9">
        <v>1298</v>
      </c>
      <c r="P19" s="9">
        <f t="shared" si="4"/>
        <v>402</v>
      </c>
    </row>
    <row r="20" spans="1:20" x14ac:dyDescent="0.25">
      <c r="A20" s="21" t="s">
        <v>114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  <c r="N20" s="9">
        <f t="shared" si="3"/>
        <v>0</v>
      </c>
      <c r="O20" s="9"/>
      <c r="P20" s="9">
        <f t="shared" si="4"/>
        <v>0</v>
      </c>
    </row>
    <row r="21" spans="1:20" x14ac:dyDescent="0.25">
      <c r="A21" s="21" t="s">
        <v>19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9">
        <f t="shared" si="3"/>
        <v>0</v>
      </c>
      <c r="O21" s="9"/>
      <c r="P21" s="9">
        <f t="shared" si="4"/>
        <v>0</v>
      </c>
      <c r="Q21" s="28"/>
      <c r="R21" s="28"/>
      <c r="S21" s="28"/>
      <c r="T21" s="28"/>
    </row>
    <row r="22" spans="1:20" x14ac:dyDescent="0.25">
      <c r="A22" s="21" t="s">
        <v>20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4"/>
      <c r="N22" s="9">
        <f t="shared" si="3"/>
        <v>0</v>
      </c>
      <c r="O22" s="9">
        <v>434</v>
      </c>
      <c r="P22" s="9">
        <f t="shared" si="4"/>
        <v>-434</v>
      </c>
    </row>
    <row r="23" spans="1:20" x14ac:dyDescent="0.25">
      <c r="A23" s="21" t="s">
        <v>26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/>
      <c r="N23" s="9">
        <f t="shared" si="3"/>
        <v>0</v>
      </c>
      <c r="O23" s="9"/>
      <c r="P23" s="9">
        <f t="shared" si="4"/>
        <v>0</v>
      </c>
    </row>
    <row r="24" spans="1:20" x14ac:dyDescent="0.25">
      <c r="A24" s="21" t="s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4000</v>
      </c>
      <c r="G24" s="23">
        <v>14000</v>
      </c>
      <c r="H24" s="23">
        <v>14000</v>
      </c>
      <c r="I24" s="23">
        <v>14000</v>
      </c>
      <c r="J24" s="23">
        <v>0</v>
      </c>
      <c r="K24" s="23">
        <v>0</v>
      </c>
      <c r="L24" s="23">
        <v>0</v>
      </c>
      <c r="M24" s="24">
        <v>0</v>
      </c>
      <c r="N24" s="9">
        <f t="shared" si="3"/>
        <v>46000</v>
      </c>
      <c r="O24" s="9">
        <f>38526+598</f>
        <v>39124</v>
      </c>
      <c r="P24" s="9">
        <f t="shared" si="4"/>
        <v>6876</v>
      </c>
    </row>
    <row r="25" spans="1:20" x14ac:dyDescent="0.25">
      <c r="A25" s="21" t="s">
        <v>22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4"/>
      <c r="N25" s="9">
        <f t="shared" si="3"/>
        <v>0</v>
      </c>
      <c r="O25" s="9"/>
      <c r="P25" s="9">
        <f t="shared" si="4"/>
        <v>0</v>
      </c>
    </row>
    <row r="26" spans="1:20" x14ac:dyDescent="0.25">
      <c r="A26" s="21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4"/>
      <c r="N26" s="9">
        <f t="shared" si="3"/>
        <v>0</v>
      </c>
      <c r="O26" s="9">
        <v>100</v>
      </c>
      <c r="P26" s="9">
        <f t="shared" si="4"/>
        <v>-100</v>
      </c>
    </row>
    <row r="27" spans="1:20" x14ac:dyDescent="0.25">
      <c r="A27" s="21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  <c r="N27" s="9">
        <f t="shared" si="3"/>
        <v>0</v>
      </c>
      <c r="O27" s="9"/>
      <c r="P27" s="9">
        <f t="shared" si="4"/>
        <v>0</v>
      </c>
      <c r="Q27" s="28"/>
      <c r="R27" s="28"/>
    </row>
    <row r="28" spans="1:20" x14ac:dyDescent="0.25">
      <c r="A28" s="21" t="s">
        <v>107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4000</v>
      </c>
      <c r="H28" s="23">
        <v>4000</v>
      </c>
      <c r="I28" s="23">
        <v>4000</v>
      </c>
      <c r="J28" s="23">
        <v>0</v>
      </c>
      <c r="K28" s="23">
        <v>0</v>
      </c>
      <c r="L28" s="23">
        <v>0</v>
      </c>
      <c r="M28" s="23">
        <v>0</v>
      </c>
      <c r="N28" s="9">
        <f t="shared" si="3"/>
        <v>12000</v>
      </c>
      <c r="O28" s="9"/>
      <c r="P28" s="9">
        <f t="shared" si="4"/>
        <v>12000</v>
      </c>
      <c r="Q28" s="28"/>
      <c r="R28" s="28"/>
      <c r="S28" s="28"/>
      <c r="T28" s="28"/>
    </row>
    <row r="29" spans="1:20" ht="15.75" thickBot="1" x14ac:dyDescent="0.3">
      <c r="A29" s="25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8"/>
      <c r="N29" s="9">
        <f t="shared" si="3"/>
        <v>0</v>
      </c>
      <c r="O29" s="9"/>
      <c r="P29" s="9">
        <f t="shared" si="4"/>
        <v>0</v>
      </c>
    </row>
    <row r="30" spans="1:20" s="1" customFormat="1" ht="15.75" thickBot="1" x14ac:dyDescent="0.3">
      <c r="A30" s="10" t="s">
        <v>1</v>
      </c>
      <c r="B30" s="14">
        <f>SUM(B13:B29)</f>
        <v>0</v>
      </c>
      <c r="C30" s="14">
        <f t="shared" ref="C30:P30" si="5">SUM(C13:C29)</f>
        <v>0</v>
      </c>
      <c r="D30" s="14">
        <f t="shared" si="5"/>
        <v>0</v>
      </c>
      <c r="E30" s="14">
        <f t="shared" si="5"/>
        <v>0</v>
      </c>
      <c r="F30" s="14">
        <f t="shared" si="5"/>
        <v>27200</v>
      </c>
      <c r="G30" s="14">
        <f t="shared" si="5"/>
        <v>51500</v>
      </c>
      <c r="H30" s="14">
        <f t="shared" si="5"/>
        <v>86500</v>
      </c>
      <c r="I30" s="14">
        <f t="shared" si="5"/>
        <v>86500</v>
      </c>
      <c r="J30" s="14">
        <f t="shared" si="5"/>
        <v>0</v>
      </c>
      <c r="K30" s="14">
        <f t="shared" si="5"/>
        <v>0</v>
      </c>
      <c r="L30" s="14">
        <f t="shared" si="5"/>
        <v>0</v>
      </c>
      <c r="M30" s="15">
        <f t="shared" si="5"/>
        <v>0</v>
      </c>
      <c r="N30" s="16">
        <f t="shared" si="5"/>
        <v>251700</v>
      </c>
      <c r="O30" s="16">
        <f t="shared" si="5"/>
        <v>210746</v>
      </c>
      <c r="P30" s="16">
        <f t="shared" si="5"/>
        <v>40954</v>
      </c>
    </row>
    <row r="31" spans="1:20" ht="15.75" thickBot="1" x14ac:dyDescent="0.3"/>
    <row r="32" spans="1:20" s="1" customFormat="1" ht="15.75" thickBot="1" x14ac:dyDescent="0.3">
      <c r="A32" s="29" t="s">
        <v>79</v>
      </c>
      <c r="B32" s="30">
        <f>B8-B30</f>
        <v>0</v>
      </c>
      <c r="C32" s="30">
        <f t="shared" ref="C32:P32" si="6">C8-C30</f>
        <v>0</v>
      </c>
      <c r="D32" s="30">
        <f t="shared" si="6"/>
        <v>4500</v>
      </c>
      <c r="E32" s="30">
        <f t="shared" si="6"/>
        <v>0</v>
      </c>
      <c r="F32" s="30">
        <f t="shared" si="6"/>
        <v>-22200</v>
      </c>
      <c r="G32" s="30">
        <f t="shared" si="6"/>
        <v>13500</v>
      </c>
      <c r="H32" s="30">
        <f t="shared" si="6"/>
        <v>48500</v>
      </c>
      <c r="I32" s="30">
        <f t="shared" si="6"/>
        <v>73500</v>
      </c>
      <c r="J32" s="30">
        <f t="shared" si="6"/>
        <v>0</v>
      </c>
      <c r="K32" s="30">
        <f t="shared" si="6"/>
        <v>0</v>
      </c>
      <c r="L32" s="30">
        <f t="shared" si="6"/>
        <v>0</v>
      </c>
      <c r="M32" s="30">
        <f t="shared" si="6"/>
        <v>0</v>
      </c>
      <c r="N32" s="30">
        <f t="shared" si="6"/>
        <v>117800</v>
      </c>
      <c r="O32" s="30">
        <f t="shared" si="6"/>
        <v>142350</v>
      </c>
      <c r="P32" s="30">
        <f t="shared" si="6"/>
        <v>-24550</v>
      </c>
    </row>
    <row r="36" spans="14:16" x14ac:dyDescent="0.25">
      <c r="N36" s="17"/>
      <c r="O36" s="17"/>
      <c r="P36" s="17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showGridLines="0" rightToLeft="1" zoomScaleNormal="100" workbookViewId="0">
      <selection activeCell="O10" sqref="O10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3" ht="21.75" customHeight="1" thickBot="1" x14ac:dyDescent="0.3">
      <c r="A1" s="13" t="s">
        <v>145</v>
      </c>
    </row>
    <row r="2" spans="1:23" x14ac:dyDescent="0.25">
      <c r="A2" s="7"/>
      <c r="B2" s="11" t="s">
        <v>67</v>
      </c>
      <c r="C2" s="11" t="s">
        <v>68</v>
      </c>
      <c r="D2" s="11" t="s">
        <v>69</v>
      </c>
      <c r="E2" s="11" t="s">
        <v>70</v>
      </c>
      <c r="F2" s="11" t="s">
        <v>71</v>
      </c>
      <c r="G2" s="11" t="s">
        <v>72</v>
      </c>
      <c r="H2" s="11" t="s">
        <v>73</v>
      </c>
      <c r="I2" s="11" t="s">
        <v>74</v>
      </c>
      <c r="J2" s="11" t="s">
        <v>75</v>
      </c>
      <c r="K2" s="11" t="s">
        <v>76</v>
      </c>
      <c r="L2" s="11" t="s">
        <v>77</v>
      </c>
      <c r="M2" s="12" t="s">
        <v>78</v>
      </c>
      <c r="N2" s="8" t="s">
        <v>119</v>
      </c>
      <c r="O2" s="8" t="s">
        <v>120</v>
      </c>
      <c r="P2" s="8" t="s">
        <v>238</v>
      </c>
    </row>
    <row r="3" spans="1:23" ht="15.75" thickBot="1" x14ac:dyDescent="0.3">
      <c r="A3" s="7" t="s">
        <v>140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35000</v>
      </c>
      <c r="H3" s="23">
        <v>70000</v>
      </c>
      <c r="I3" s="23">
        <v>45000</v>
      </c>
      <c r="J3" s="23">
        <v>0</v>
      </c>
      <c r="K3" s="23">
        <v>0</v>
      </c>
      <c r="L3" s="23">
        <v>0</v>
      </c>
      <c r="M3" s="24">
        <v>0</v>
      </c>
      <c r="N3" s="9">
        <f>SUM(B3:M3)</f>
        <v>150000</v>
      </c>
      <c r="O3" s="9">
        <v>131376</v>
      </c>
      <c r="P3" s="9">
        <f>N3-O3</f>
        <v>18624</v>
      </c>
      <c r="Q3" s="28"/>
      <c r="R3" s="28"/>
      <c r="S3" s="28"/>
      <c r="T3" s="28"/>
      <c r="U3" s="28"/>
      <c r="V3" s="28"/>
      <c r="W3" s="28"/>
    </row>
    <row r="4" spans="1:23" s="1" customFormat="1" ht="15.75" thickBot="1" x14ac:dyDescent="0.3">
      <c r="A4" s="10" t="s">
        <v>0</v>
      </c>
      <c r="B4" s="14">
        <f t="shared" ref="B4:P4" si="0">SUM(B3:B3)</f>
        <v>0</v>
      </c>
      <c r="C4" s="14">
        <f t="shared" si="0"/>
        <v>0</v>
      </c>
      <c r="D4" s="14">
        <f t="shared" si="0"/>
        <v>0</v>
      </c>
      <c r="E4" s="14">
        <f t="shared" si="0"/>
        <v>0</v>
      </c>
      <c r="F4" s="14">
        <f t="shared" si="0"/>
        <v>0</v>
      </c>
      <c r="G4" s="14">
        <f t="shared" si="0"/>
        <v>35000</v>
      </c>
      <c r="H4" s="14">
        <f t="shared" si="0"/>
        <v>70000</v>
      </c>
      <c r="I4" s="14">
        <f t="shared" si="0"/>
        <v>45000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 t="shared" si="0"/>
        <v>0</v>
      </c>
      <c r="N4" s="16">
        <f t="shared" si="0"/>
        <v>150000</v>
      </c>
      <c r="O4" s="16">
        <f t="shared" si="0"/>
        <v>131376</v>
      </c>
      <c r="P4" s="16">
        <f t="shared" si="0"/>
        <v>18624</v>
      </c>
    </row>
    <row r="7" spans="1:23" ht="21.75" customHeight="1" thickBot="1" x14ac:dyDescent="0.3">
      <c r="A7" s="13" t="s">
        <v>146</v>
      </c>
    </row>
    <row r="8" spans="1:23" x14ac:dyDescent="0.25">
      <c r="A8" s="7"/>
      <c r="B8" s="11" t="s">
        <v>67</v>
      </c>
      <c r="C8" s="11" t="s">
        <v>68</v>
      </c>
      <c r="D8" s="11" t="s">
        <v>69</v>
      </c>
      <c r="E8" s="11" t="s">
        <v>70</v>
      </c>
      <c r="F8" s="11" t="s">
        <v>71</v>
      </c>
      <c r="G8" s="11" t="s">
        <v>72</v>
      </c>
      <c r="H8" s="11" t="s">
        <v>73</v>
      </c>
      <c r="I8" s="11" t="s">
        <v>74</v>
      </c>
      <c r="J8" s="11" t="s">
        <v>75</v>
      </c>
      <c r="K8" s="11" t="s">
        <v>76</v>
      </c>
      <c r="L8" s="11" t="s">
        <v>77</v>
      </c>
      <c r="M8" s="12" t="s">
        <v>78</v>
      </c>
      <c r="N8" s="8" t="s">
        <v>119</v>
      </c>
      <c r="O8" s="8" t="s">
        <v>120</v>
      </c>
      <c r="P8" s="8" t="s">
        <v>238</v>
      </c>
    </row>
    <row r="9" spans="1:23" x14ac:dyDescent="0.25">
      <c r="A9" s="21" t="s">
        <v>11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f>20000*0.5</f>
        <v>10000</v>
      </c>
      <c r="H9" s="23">
        <f>34000*0.5</f>
        <v>17000</v>
      </c>
      <c r="I9" s="23">
        <f>21000*0.5</f>
        <v>10500</v>
      </c>
      <c r="J9" s="23">
        <v>0</v>
      </c>
      <c r="K9" s="23">
        <v>0</v>
      </c>
      <c r="L9" s="23">
        <v>0</v>
      </c>
      <c r="M9" s="24">
        <v>0</v>
      </c>
      <c r="N9" s="9">
        <f>SUM(B9:M9)</f>
        <v>37500</v>
      </c>
      <c r="O9" s="9">
        <f>(68145+2375+1985+956+25652)*0.5</f>
        <v>49556.5</v>
      </c>
      <c r="P9" s="9">
        <f>N9-O9</f>
        <v>-12056.5</v>
      </c>
      <c r="Q9" s="28" t="s">
        <v>190</v>
      </c>
      <c r="R9" s="28"/>
      <c r="S9" s="28"/>
      <c r="T9" s="28"/>
      <c r="U9" s="28"/>
      <c r="V9" s="28"/>
    </row>
    <row r="10" spans="1:23" x14ac:dyDescent="0.25">
      <c r="A10" s="21" t="s">
        <v>142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f>G3*0.4</f>
        <v>14000</v>
      </c>
      <c r="H10" s="23">
        <f>H3*0.4</f>
        <v>28000</v>
      </c>
      <c r="I10" s="23">
        <f>I3*0.4</f>
        <v>18000</v>
      </c>
      <c r="J10" s="23">
        <v>0</v>
      </c>
      <c r="K10" s="23">
        <v>0</v>
      </c>
      <c r="L10" s="23">
        <v>0</v>
      </c>
      <c r="M10" s="24">
        <v>0</v>
      </c>
      <c r="N10" s="9">
        <f t="shared" ref="N10:N11" si="1">SUM(B10:M10)</f>
        <v>60000</v>
      </c>
      <c r="O10" s="9">
        <v>63240</v>
      </c>
      <c r="P10" s="9">
        <f t="shared" ref="P10:P11" si="2">N10-O10</f>
        <v>-3240</v>
      </c>
      <c r="Q10" s="28"/>
      <c r="R10" s="28"/>
      <c r="S10" s="28"/>
      <c r="T10" s="28"/>
      <c r="U10" s="28"/>
      <c r="V10" s="28"/>
    </row>
    <row r="11" spans="1:23" ht="15.75" thickBot="1" x14ac:dyDescent="0.3">
      <c r="A11" s="21" t="s">
        <v>141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1000</v>
      </c>
      <c r="H11" s="23">
        <v>1000</v>
      </c>
      <c r="I11" s="23">
        <v>1000</v>
      </c>
      <c r="J11" s="23">
        <v>0</v>
      </c>
      <c r="K11" s="23">
        <v>0</v>
      </c>
      <c r="L11" s="23">
        <v>0</v>
      </c>
      <c r="M11" s="24">
        <v>0</v>
      </c>
      <c r="N11" s="9">
        <f t="shared" si="1"/>
        <v>3000</v>
      </c>
      <c r="O11" s="9">
        <v>2800</v>
      </c>
      <c r="P11" s="9">
        <f t="shared" si="2"/>
        <v>200</v>
      </c>
    </row>
    <row r="12" spans="1:23" s="1" customFormat="1" ht="15.75" thickBot="1" x14ac:dyDescent="0.3">
      <c r="A12" s="10" t="s">
        <v>1</v>
      </c>
      <c r="B12" s="14">
        <f t="shared" ref="B12:P12" si="3">SUM(B9:B11)</f>
        <v>0</v>
      </c>
      <c r="C12" s="14">
        <f t="shared" si="3"/>
        <v>0</v>
      </c>
      <c r="D12" s="14">
        <f t="shared" si="3"/>
        <v>0</v>
      </c>
      <c r="E12" s="14">
        <f t="shared" si="3"/>
        <v>0</v>
      </c>
      <c r="F12" s="14">
        <f t="shared" si="3"/>
        <v>0</v>
      </c>
      <c r="G12" s="14">
        <f t="shared" si="3"/>
        <v>25000</v>
      </c>
      <c r="H12" s="14">
        <f t="shared" si="3"/>
        <v>46000</v>
      </c>
      <c r="I12" s="14">
        <f t="shared" si="3"/>
        <v>29500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5">
        <f t="shared" si="3"/>
        <v>0</v>
      </c>
      <c r="N12" s="16">
        <f t="shared" si="3"/>
        <v>100500</v>
      </c>
      <c r="O12" s="16">
        <f t="shared" si="3"/>
        <v>115596.5</v>
      </c>
      <c r="P12" s="16">
        <f t="shared" si="3"/>
        <v>-15096.5</v>
      </c>
    </row>
    <row r="13" spans="1:23" ht="15.75" thickBot="1" x14ac:dyDescent="0.3"/>
    <row r="14" spans="1:23" s="1" customFormat="1" ht="15.75" thickBot="1" x14ac:dyDescent="0.3">
      <c r="A14" s="29" t="s">
        <v>79</v>
      </c>
      <c r="B14" s="30">
        <f t="shared" ref="B14:P14" si="4">B4-B12</f>
        <v>0</v>
      </c>
      <c r="C14" s="30">
        <f t="shared" si="4"/>
        <v>0</v>
      </c>
      <c r="D14" s="30">
        <f t="shared" si="4"/>
        <v>0</v>
      </c>
      <c r="E14" s="30">
        <f t="shared" si="4"/>
        <v>0</v>
      </c>
      <c r="F14" s="30">
        <f t="shared" si="4"/>
        <v>0</v>
      </c>
      <c r="G14" s="30">
        <f t="shared" si="4"/>
        <v>10000</v>
      </c>
      <c r="H14" s="30">
        <f t="shared" si="4"/>
        <v>24000</v>
      </c>
      <c r="I14" s="30">
        <f t="shared" si="4"/>
        <v>15500</v>
      </c>
      <c r="J14" s="30">
        <f t="shared" si="4"/>
        <v>0</v>
      </c>
      <c r="K14" s="30">
        <f t="shared" si="4"/>
        <v>0</v>
      </c>
      <c r="L14" s="30">
        <f t="shared" si="4"/>
        <v>0</v>
      </c>
      <c r="M14" s="30">
        <f t="shared" si="4"/>
        <v>0</v>
      </c>
      <c r="N14" s="30">
        <f t="shared" si="4"/>
        <v>49500</v>
      </c>
      <c r="O14" s="30">
        <f t="shared" si="4"/>
        <v>15779.5</v>
      </c>
      <c r="P14" s="30">
        <f t="shared" si="4"/>
        <v>33720.5</v>
      </c>
    </row>
    <row r="18" spans="14:16" x14ac:dyDescent="0.25">
      <c r="N18" s="17"/>
      <c r="O18" s="17"/>
      <c r="P18" s="17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showGridLines="0" rightToLeft="1" zoomScaleNormal="100" workbookViewId="0">
      <selection activeCell="A2" sqref="A2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3" ht="21.75" customHeight="1" thickBot="1" x14ac:dyDescent="0.3">
      <c r="A1" s="13" t="s">
        <v>138</v>
      </c>
    </row>
    <row r="2" spans="1:23" x14ac:dyDescent="0.25">
      <c r="A2" s="7"/>
      <c r="B2" s="11" t="s">
        <v>67</v>
      </c>
      <c r="C2" s="11" t="s">
        <v>68</v>
      </c>
      <c r="D2" s="11" t="s">
        <v>69</v>
      </c>
      <c r="E2" s="11" t="s">
        <v>70</v>
      </c>
      <c r="F2" s="11" t="s">
        <v>71</v>
      </c>
      <c r="G2" s="11" t="s">
        <v>72</v>
      </c>
      <c r="H2" s="11" t="s">
        <v>73</v>
      </c>
      <c r="I2" s="11" t="s">
        <v>74</v>
      </c>
      <c r="J2" s="11" t="s">
        <v>75</v>
      </c>
      <c r="K2" s="11" t="s">
        <v>76</v>
      </c>
      <c r="L2" s="11" t="s">
        <v>77</v>
      </c>
      <c r="M2" s="12" t="s">
        <v>78</v>
      </c>
      <c r="N2" s="8" t="s">
        <v>119</v>
      </c>
      <c r="O2" s="8" t="s">
        <v>120</v>
      </c>
      <c r="P2" s="8" t="s">
        <v>238</v>
      </c>
    </row>
    <row r="3" spans="1:23" x14ac:dyDescent="0.25">
      <c r="A3" s="7" t="s">
        <v>140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40000</v>
      </c>
      <c r="H3" s="23">
        <v>90000</v>
      </c>
      <c r="I3" s="23">
        <v>60000</v>
      </c>
      <c r="J3" s="23">
        <v>0</v>
      </c>
      <c r="K3" s="23">
        <v>0</v>
      </c>
      <c r="L3" s="23">
        <v>0</v>
      </c>
      <c r="M3" s="24">
        <v>0</v>
      </c>
      <c r="N3" s="9">
        <f>SUM(B3:M3)</f>
        <v>190000</v>
      </c>
      <c r="O3" s="9">
        <v>174526</v>
      </c>
      <c r="P3" s="9">
        <f>N3-O3</f>
        <v>15474</v>
      </c>
      <c r="Q3" s="28"/>
      <c r="R3" s="28"/>
      <c r="S3" s="28"/>
      <c r="T3" s="28"/>
      <c r="U3" s="28"/>
      <c r="V3" s="28"/>
      <c r="W3" s="28"/>
    </row>
    <row r="4" spans="1:23" ht="15.75" thickBot="1" x14ac:dyDescent="0.3">
      <c r="A4" s="21" t="s">
        <v>110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  <c r="N4" s="9">
        <f>SUM(B4:M4)</f>
        <v>0</v>
      </c>
      <c r="O4" s="9">
        <v>0</v>
      </c>
      <c r="P4" s="9">
        <f>N4-O4</f>
        <v>0</v>
      </c>
    </row>
    <row r="5" spans="1:23" s="1" customFormat="1" ht="15.75" thickBot="1" x14ac:dyDescent="0.3">
      <c r="A5" s="10" t="s">
        <v>0</v>
      </c>
      <c r="B5" s="14">
        <f t="shared" ref="B5:P5" si="0">SUM(B3:B4)</f>
        <v>0</v>
      </c>
      <c r="C5" s="14">
        <f t="shared" si="0"/>
        <v>0</v>
      </c>
      <c r="D5" s="14">
        <f t="shared" si="0"/>
        <v>0</v>
      </c>
      <c r="E5" s="14">
        <f t="shared" si="0"/>
        <v>0</v>
      </c>
      <c r="F5" s="14">
        <f t="shared" si="0"/>
        <v>0</v>
      </c>
      <c r="G5" s="14">
        <f t="shared" si="0"/>
        <v>40000</v>
      </c>
      <c r="H5" s="14">
        <f t="shared" si="0"/>
        <v>90000</v>
      </c>
      <c r="I5" s="14">
        <f t="shared" si="0"/>
        <v>60000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6">
        <f t="shared" si="0"/>
        <v>190000</v>
      </c>
      <c r="O5" s="16">
        <f t="shared" si="0"/>
        <v>174526</v>
      </c>
      <c r="P5" s="16">
        <f t="shared" si="0"/>
        <v>15474</v>
      </c>
    </row>
    <row r="8" spans="1:23" ht="21.75" customHeight="1" thickBot="1" x14ac:dyDescent="0.3">
      <c r="A8" s="13" t="s">
        <v>139</v>
      </c>
    </row>
    <row r="9" spans="1:23" x14ac:dyDescent="0.25">
      <c r="A9" s="7"/>
      <c r="B9" s="11" t="s">
        <v>67</v>
      </c>
      <c r="C9" s="11" t="s">
        <v>68</v>
      </c>
      <c r="D9" s="11" t="s">
        <v>69</v>
      </c>
      <c r="E9" s="11" t="s">
        <v>70</v>
      </c>
      <c r="F9" s="11" t="s">
        <v>71</v>
      </c>
      <c r="G9" s="11" t="s">
        <v>72</v>
      </c>
      <c r="H9" s="11" t="s">
        <v>73</v>
      </c>
      <c r="I9" s="11" t="s">
        <v>74</v>
      </c>
      <c r="J9" s="11" t="s">
        <v>75</v>
      </c>
      <c r="K9" s="11" t="s">
        <v>76</v>
      </c>
      <c r="L9" s="11" t="s">
        <v>77</v>
      </c>
      <c r="M9" s="12" t="s">
        <v>78</v>
      </c>
      <c r="N9" s="8" t="s">
        <v>119</v>
      </c>
      <c r="O9" s="8" t="s">
        <v>120</v>
      </c>
      <c r="P9" s="8" t="s">
        <v>238</v>
      </c>
    </row>
    <row r="10" spans="1:23" x14ac:dyDescent="0.25">
      <c r="A10" s="21" t="s">
        <v>11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f>20000*0.5</f>
        <v>10000</v>
      </c>
      <c r="H10" s="23">
        <f>34000*0.5</f>
        <v>17000</v>
      </c>
      <c r="I10" s="23">
        <f>21000*0.5</f>
        <v>10500</v>
      </c>
      <c r="J10" s="23">
        <v>0</v>
      </c>
      <c r="K10" s="23">
        <v>0</v>
      </c>
      <c r="L10" s="23">
        <v>0</v>
      </c>
      <c r="M10" s="24">
        <v>0</v>
      </c>
      <c r="N10" s="9">
        <f>SUM(B10:M10)</f>
        <v>37500</v>
      </c>
      <c r="O10" s="9">
        <f>(68145+2375+1985+956+25652)*0.5</f>
        <v>49556.5</v>
      </c>
      <c r="P10" s="9">
        <f>N10-O10</f>
        <v>-12056.5</v>
      </c>
      <c r="Q10" s="28" t="s">
        <v>223</v>
      </c>
    </row>
    <row r="11" spans="1:23" x14ac:dyDescent="0.25">
      <c r="A11" s="21" t="s">
        <v>142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>G3*0.4</f>
        <v>16000</v>
      </c>
      <c r="H11" s="23">
        <f t="shared" ref="H11:I11" si="1">H3*0.4</f>
        <v>36000</v>
      </c>
      <c r="I11" s="23">
        <f t="shared" si="1"/>
        <v>24000</v>
      </c>
      <c r="J11" s="23">
        <v>0</v>
      </c>
      <c r="K11" s="23">
        <v>0</v>
      </c>
      <c r="L11" s="23">
        <v>0</v>
      </c>
      <c r="M11" s="24">
        <v>0</v>
      </c>
      <c r="N11" s="9">
        <f t="shared" ref="N11:N12" si="2">SUM(B11:M11)</f>
        <v>76000</v>
      </c>
      <c r="O11" s="9">
        <v>73765</v>
      </c>
      <c r="P11" s="9">
        <f t="shared" ref="P11:P12" si="3">N11-O11</f>
        <v>2235</v>
      </c>
    </row>
    <row r="12" spans="1:23" ht="15.75" thickBot="1" x14ac:dyDescent="0.3">
      <c r="A12" s="21" t="s">
        <v>141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3000</v>
      </c>
      <c r="H12" s="23">
        <v>3000</v>
      </c>
      <c r="I12" s="23">
        <v>3000</v>
      </c>
      <c r="J12" s="23">
        <v>0</v>
      </c>
      <c r="K12" s="23">
        <v>0</v>
      </c>
      <c r="L12" s="23">
        <v>0</v>
      </c>
      <c r="M12" s="24">
        <v>0</v>
      </c>
      <c r="N12" s="9">
        <f t="shared" si="2"/>
        <v>9000</v>
      </c>
      <c r="O12" s="9">
        <v>6305</v>
      </c>
      <c r="P12" s="9">
        <f t="shared" si="3"/>
        <v>2695</v>
      </c>
    </row>
    <row r="13" spans="1:23" s="1" customFormat="1" ht="15.75" thickBot="1" x14ac:dyDescent="0.3">
      <c r="A13" s="10" t="s">
        <v>1</v>
      </c>
      <c r="B13" s="14">
        <f t="shared" ref="B13:P13" si="4">SUM(B10:B12)</f>
        <v>0</v>
      </c>
      <c r="C13" s="14">
        <f t="shared" si="4"/>
        <v>0</v>
      </c>
      <c r="D13" s="14">
        <f t="shared" si="4"/>
        <v>0</v>
      </c>
      <c r="E13" s="14">
        <f t="shared" si="4"/>
        <v>0</v>
      </c>
      <c r="F13" s="14">
        <f t="shared" si="4"/>
        <v>0</v>
      </c>
      <c r="G13" s="14">
        <f t="shared" si="4"/>
        <v>29000</v>
      </c>
      <c r="H13" s="14">
        <f t="shared" si="4"/>
        <v>56000</v>
      </c>
      <c r="I13" s="14">
        <f t="shared" si="4"/>
        <v>37500</v>
      </c>
      <c r="J13" s="14">
        <f t="shared" si="4"/>
        <v>0</v>
      </c>
      <c r="K13" s="14">
        <f t="shared" si="4"/>
        <v>0</v>
      </c>
      <c r="L13" s="14">
        <f t="shared" si="4"/>
        <v>0</v>
      </c>
      <c r="M13" s="15">
        <f t="shared" si="4"/>
        <v>0</v>
      </c>
      <c r="N13" s="16">
        <f t="shared" si="4"/>
        <v>122500</v>
      </c>
      <c r="O13" s="16">
        <f t="shared" si="4"/>
        <v>129626.5</v>
      </c>
      <c r="P13" s="16">
        <f t="shared" si="4"/>
        <v>-7126.5</v>
      </c>
    </row>
    <row r="14" spans="1:23" ht="15.75" thickBot="1" x14ac:dyDescent="0.3"/>
    <row r="15" spans="1:23" s="1" customFormat="1" ht="15.75" thickBot="1" x14ac:dyDescent="0.3">
      <c r="A15" s="29" t="s">
        <v>79</v>
      </c>
      <c r="B15" s="30">
        <f t="shared" ref="B15:P15" si="5">B5-B13</f>
        <v>0</v>
      </c>
      <c r="C15" s="30">
        <f t="shared" si="5"/>
        <v>0</v>
      </c>
      <c r="D15" s="30">
        <f t="shared" si="5"/>
        <v>0</v>
      </c>
      <c r="E15" s="30">
        <f t="shared" si="5"/>
        <v>0</v>
      </c>
      <c r="F15" s="30">
        <f t="shared" si="5"/>
        <v>0</v>
      </c>
      <c r="G15" s="30">
        <f t="shared" si="5"/>
        <v>11000</v>
      </c>
      <c r="H15" s="30">
        <f t="shared" si="5"/>
        <v>34000</v>
      </c>
      <c r="I15" s="30">
        <f t="shared" si="5"/>
        <v>22500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67500</v>
      </c>
      <c r="O15" s="30">
        <f t="shared" si="5"/>
        <v>44899.5</v>
      </c>
      <c r="P15" s="30">
        <f t="shared" si="5"/>
        <v>22600.5</v>
      </c>
    </row>
    <row r="19" spans="14:16" x14ac:dyDescent="0.25">
      <c r="N19" s="17"/>
      <c r="O19" s="17"/>
      <c r="P19" s="17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1"/>
  <sheetViews>
    <sheetView showGridLines="0" rightToLeft="1" topLeftCell="A28" zoomScaleNormal="100" workbookViewId="0">
      <selection activeCell="A35" sqref="A35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</cols>
  <sheetData>
    <row r="1" spans="1:16" ht="21.75" customHeight="1" thickBot="1" x14ac:dyDescent="0.3">
      <c r="A1" s="13" t="s">
        <v>147</v>
      </c>
    </row>
    <row r="2" spans="1:16" x14ac:dyDescent="0.25">
      <c r="A2" s="7"/>
      <c r="B2" s="11" t="s">
        <v>67</v>
      </c>
      <c r="C2" s="11" t="s">
        <v>68</v>
      </c>
      <c r="D2" s="11" t="s">
        <v>69</v>
      </c>
      <c r="E2" s="11" t="s">
        <v>70</v>
      </c>
      <c r="F2" s="11" t="s">
        <v>71</v>
      </c>
      <c r="G2" s="11" t="s">
        <v>72</v>
      </c>
      <c r="H2" s="11" t="s">
        <v>73</v>
      </c>
      <c r="I2" s="11" t="s">
        <v>74</v>
      </c>
      <c r="J2" s="11" t="s">
        <v>75</v>
      </c>
      <c r="K2" s="11" t="s">
        <v>76</v>
      </c>
      <c r="L2" s="11" t="s">
        <v>77</v>
      </c>
      <c r="M2" s="12" t="s">
        <v>78</v>
      </c>
      <c r="N2" s="8" t="s">
        <v>119</v>
      </c>
      <c r="O2" s="8" t="s">
        <v>120</v>
      </c>
      <c r="P2" s="8" t="s">
        <v>238</v>
      </c>
    </row>
    <row r="3" spans="1:16" x14ac:dyDescent="0.25">
      <c r="A3" s="7" t="s">
        <v>148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9">
        <f>SUM(B3:M3)</f>
        <v>0</v>
      </c>
      <c r="O3" s="9">
        <f>66470+6615</f>
        <v>73085</v>
      </c>
      <c r="P3" s="9">
        <f>N3-O3</f>
        <v>-73085</v>
      </c>
    </row>
    <row r="4" spans="1:16" x14ac:dyDescent="0.25">
      <c r="A4" s="21" t="s">
        <v>149</v>
      </c>
      <c r="B4" s="33">
        <f>ROUND(B85,-2)</f>
        <v>111300</v>
      </c>
      <c r="C4" s="33">
        <f t="shared" ref="C4:M4" si="0">ROUND(C85,-2)</f>
        <v>111300</v>
      </c>
      <c r="D4" s="33">
        <f t="shared" si="0"/>
        <v>111300</v>
      </c>
      <c r="E4" s="33">
        <f t="shared" si="0"/>
        <v>111300</v>
      </c>
      <c r="F4" s="33">
        <f t="shared" si="0"/>
        <v>111300</v>
      </c>
      <c r="G4" s="33">
        <f t="shared" si="0"/>
        <v>111300</v>
      </c>
      <c r="H4" s="33">
        <f t="shared" si="0"/>
        <v>111300</v>
      </c>
      <c r="I4" s="33">
        <f t="shared" si="0"/>
        <v>111300</v>
      </c>
      <c r="J4" s="33">
        <f t="shared" si="0"/>
        <v>111300</v>
      </c>
      <c r="K4" s="33">
        <f t="shared" si="0"/>
        <v>111300</v>
      </c>
      <c r="L4" s="33">
        <f t="shared" si="0"/>
        <v>111300</v>
      </c>
      <c r="M4" s="33">
        <f t="shared" si="0"/>
        <v>111300</v>
      </c>
      <c r="N4" s="9">
        <f>SUM(B4:M4)</f>
        <v>1335600</v>
      </c>
      <c r="O4" s="9">
        <v>1209089</v>
      </c>
      <c r="P4" s="9">
        <f t="shared" ref="P4:P7" si="1">N4-O4</f>
        <v>126511</v>
      </c>
    </row>
    <row r="5" spans="1:16" x14ac:dyDescent="0.25">
      <c r="A5" s="21" t="s">
        <v>112</v>
      </c>
      <c r="B5" s="33">
        <f>ROUND(B61,-2)</f>
        <v>28200</v>
      </c>
      <c r="C5" s="33">
        <f t="shared" ref="C5:M5" si="2">ROUND(C61,-2)</f>
        <v>28200</v>
      </c>
      <c r="D5" s="33">
        <f t="shared" si="2"/>
        <v>28200</v>
      </c>
      <c r="E5" s="33">
        <f t="shared" si="2"/>
        <v>28200</v>
      </c>
      <c r="F5" s="33">
        <f t="shared" si="2"/>
        <v>28200</v>
      </c>
      <c r="G5" s="33">
        <f t="shared" si="2"/>
        <v>28200</v>
      </c>
      <c r="H5" s="33">
        <f t="shared" si="2"/>
        <v>28200</v>
      </c>
      <c r="I5" s="33">
        <f t="shared" si="2"/>
        <v>28200</v>
      </c>
      <c r="J5" s="33">
        <f t="shared" si="2"/>
        <v>28200</v>
      </c>
      <c r="K5" s="33">
        <f t="shared" si="2"/>
        <v>28200</v>
      </c>
      <c r="L5" s="33">
        <f t="shared" si="2"/>
        <v>28200</v>
      </c>
      <c r="M5" s="33">
        <f t="shared" si="2"/>
        <v>28200</v>
      </c>
      <c r="N5" s="9">
        <f t="shared" ref="N5:N7" si="3">SUM(B5:M5)</f>
        <v>338400</v>
      </c>
      <c r="O5" s="9">
        <v>365393</v>
      </c>
      <c r="P5" s="9">
        <f t="shared" si="1"/>
        <v>-26993</v>
      </c>
    </row>
    <row r="6" spans="1:16" x14ac:dyDescent="0.25">
      <c r="A6" s="21" t="s">
        <v>153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4">
        <v>0</v>
      </c>
      <c r="N6" s="9">
        <f t="shared" si="3"/>
        <v>0</v>
      </c>
      <c r="O6" s="9">
        <v>0</v>
      </c>
      <c r="P6" s="9">
        <f t="shared" si="1"/>
        <v>0</v>
      </c>
    </row>
    <row r="7" spans="1:16" ht="15.75" thickBot="1" x14ac:dyDescent="0.3">
      <c r="A7" s="50" t="s">
        <v>191</v>
      </c>
      <c r="B7" s="53">
        <v>3000</v>
      </c>
      <c r="C7" s="53">
        <v>3000</v>
      </c>
      <c r="D7" s="53">
        <v>3000</v>
      </c>
      <c r="E7" s="53">
        <v>3000</v>
      </c>
      <c r="F7" s="53">
        <v>3000</v>
      </c>
      <c r="G7" s="53">
        <v>3000</v>
      </c>
      <c r="H7" s="53">
        <v>3000</v>
      </c>
      <c r="I7" s="53">
        <v>3000</v>
      </c>
      <c r="J7" s="53">
        <v>3000</v>
      </c>
      <c r="K7" s="53">
        <v>3000</v>
      </c>
      <c r="L7" s="53">
        <v>3000</v>
      </c>
      <c r="M7" s="53">
        <v>3000</v>
      </c>
      <c r="N7" s="9">
        <f t="shared" si="3"/>
        <v>36000</v>
      </c>
      <c r="O7" s="9">
        <v>79500</v>
      </c>
      <c r="P7" s="9">
        <f t="shared" si="1"/>
        <v>-43500</v>
      </c>
    </row>
    <row r="8" spans="1:16" s="1" customFormat="1" ht="15.75" thickBot="1" x14ac:dyDescent="0.3">
      <c r="A8" s="10" t="s">
        <v>0</v>
      </c>
      <c r="B8" s="14">
        <f t="shared" ref="B8:P8" si="4">SUM(B3:B7)</f>
        <v>142500</v>
      </c>
      <c r="C8" s="14">
        <f t="shared" si="4"/>
        <v>142500</v>
      </c>
      <c r="D8" s="14">
        <f t="shared" si="4"/>
        <v>142500</v>
      </c>
      <c r="E8" s="14">
        <f t="shared" si="4"/>
        <v>142500</v>
      </c>
      <c r="F8" s="14">
        <f t="shared" si="4"/>
        <v>142500</v>
      </c>
      <c r="G8" s="14">
        <f t="shared" si="4"/>
        <v>142500</v>
      </c>
      <c r="H8" s="14">
        <f t="shared" si="4"/>
        <v>142500</v>
      </c>
      <c r="I8" s="14">
        <f t="shared" si="4"/>
        <v>142500</v>
      </c>
      <c r="J8" s="14">
        <f t="shared" si="4"/>
        <v>142500</v>
      </c>
      <c r="K8" s="14">
        <f t="shared" si="4"/>
        <v>142500</v>
      </c>
      <c r="L8" s="14">
        <f t="shared" si="4"/>
        <v>142500</v>
      </c>
      <c r="M8" s="14">
        <f t="shared" si="4"/>
        <v>142500</v>
      </c>
      <c r="N8" s="16">
        <f t="shared" si="4"/>
        <v>1710000</v>
      </c>
      <c r="O8" s="16">
        <f t="shared" si="4"/>
        <v>1727067</v>
      </c>
      <c r="P8" s="16">
        <f t="shared" si="4"/>
        <v>-17067</v>
      </c>
    </row>
    <row r="11" spans="1:16" ht="21.75" customHeight="1" thickBot="1" x14ac:dyDescent="0.3">
      <c r="A11" s="13" t="s">
        <v>150</v>
      </c>
    </row>
    <row r="12" spans="1:16" x14ac:dyDescent="0.25">
      <c r="B12" s="11" t="s">
        <v>67</v>
      </c>
      <c r="C12" s="11" t="s">
        <v>68</v>
      </c>
      <c r="D12" s="11" t="s">
        <v>69</v>
      </c>
      <c r="E12" s="11" t="s">
        <v>70</v>
      </c>
      <c r="F12" s="11" t="s">
        <v>71</v>
      </c>
      <c r="G12" s="11" t="s">
        <v>72</v>
      </c>
      <c r="H12" s="11" t="s">
        <v>73</v>
      </c>
      <c r="I12" s="11" t="s">
        <v>74</v>
      </c>
      <c r="J12" s="11" t="s">
        <v>75</v>
      </c>
      <c r="K12" s="11" t="s">
        <v>76</v>
      </c>
      <c r="L12" s="11" t="s">
        <v>77</v>
      </c>
      <c r="M12" s="12" t="s">
        <v>78</v>
      </c>
      <c r="N12" s="8" t="s">
        <v>119</v>
      </c>
      <c r="O12" s="8" t="s">
        <v>120</v>
      </c>
      <c r="P12" s="8" t="s">
        <v>238</v>
      </c>
    </row>
    <row r="13" spans="1:16" x14ac:dyDescent="0.25">
      <c r="A13" s="7" t="s">
        <v>151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/>
      <c r="N13" s="9">
        <f>SUM(B13:M13)</f>
        <v>0</v>
      </c>
      <c r="O13" s="9">
        <f>270341+37570</f>
        <v>307911</v>
      </c>
      <c r="P13" s="9">
        <f>N13-O13</f>
        <v>-307911</v>
      </c>
    </row>
    <row r="14" spans="1:16" x14ac:dyDescent="0.25">
      <c r="A14" s="21" t="s">
        <v>152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9">
        <f t="shared" ref="N14:N30" si="5">SUM(B14:M14)</f>
        <v>0</v>
      </c>
      <c r="O14" s="9"/>
      <c r="P14" s="9">
        <f t="shared" ref="P14:P30" si="6">N14-O14</f>
        <v>0</v>
      </c>
    </row>
    <row r="15" spans="1:16" x14ac:dyDescent="0.25">
      <c r="A15" s="21" t="s">
        <v>169</v>
      </c>
      <c r="B15" s="23">
        <f t="shared" ref="B15:M15" si="7">B5*0.6</f>
        <v>16920</v>
      </c>
      <c r="C15" s="23">
        <f t="shared" si="7"/>
        <v>16920</v>
      </c>
      <c r="D15" s="23">
        <f t="shared" si="7"/>
        <v>16920</v>
      </c>
      <c r="E15" s="23">
        <f t="shared" si="7"/>
        <v>16920</v>
      </c>
      <c r="F15" s="23">
        <f t="shared" si="7"/>
        <v>16920</v>
      </c>
      <c r="G15" s="23">
        <f t="shared" si="7"/>
        <v>16920</v>
      </c>
      <c r="H15" s="23">
        <f t="shared" si="7"/>
        <v>16920</v>
      </c>
      <c r="I15" s="23">
        <f t="shared" si="7"/>
        <v>16920</v>
      </c>
      <c r="J15" s="23">
        <f t="shared" si="7"/>
        <v>16920</v>
      </c>
      <c r="K15" s="23">
        <f t="shared" si="7"/>
        <v>16920</v>
      </c>
      <c r="L15" s="23">
        <f t="shared" si="7"/>
        <v>16920</v>
      </c>
      <c r="M15" s="23">
        <f t="shared" si="7"/>
        <v>16920</v>
      </c>
      <c r="N15" s="9">
        <f t="shared" ref="N15" si="8">SUM(B15:M15)</f>
        <v>203040</v>
      </c>
      <c r="O15" s="9">
        <f>211766+9990</f>
        <v>221756</v>
      </c>
      <c r="P15" s="9">
        <f t="shared" si="6"/>
        <v>-18716</v>
      </c>
    </row>
    <row r="16" spans="1:16" x14ac:dyDescent="0.25">
      <c r="A16" s="21" t="s">
        <v>154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/>
      <c r="N16" s="9">
        <f>SUM(B16:M16)</f>
        <v>0</v>
      </c>
      <c r="O16" s="9"/>
      <c r="P16" s="9">
        <f t="shared" si="6"/>
        <v>0</v>
      </c>
    </row>
    <row r="17" spans="1:20" x14ac:dyDescent="0.25">
      <c r="A17" s="21" t="s">
        <v>192</v>
      </c>
      <c r="B17" s="23">
        <f>ROUND((1300*4)/12,-2)</f>
        <v>400</v>
      </c>
      <c r="C17" s="23">
        <f t="shared" ref="C17:M17" si="9">ROUND((1300*4)/12,-2)</f>
        <v>400</v>
      </c>
      <c r="D17" s="23">
        <f t="shared" si="9"/>
        <v>400</v>
      </c>
      <c r="E17" s="23">
        <f t="shared" si="9"/>
        <v>400</v>
      </c>
      <c r="F17" s="23">
        <f t="shared" si="9"/>
        <v>400</v>
      </c>
      <c r="G17" s="23">
        <f t="shared" si="9"/>
        <v>400</v>
      </c>
      <c r="H17" s="23">
        <f t="shared" si="9"/>
        <v>400</v>
      </c>
      <c r="I17" s="23">
        <f t="shared" si="9"/>
        <v>400</v>
      </c>
      <c r="J17" s="23">
        <f t="shared" si="9"/>
        <v>400</v>
      </c>
      <c r="K17" s="23">
        <f t="shared" si="9"/>
        <v>400</v>
      </c>
      <c r="L17" s="23">
        <f t="shared" si="9"/>
        <v>400</v>
      </c>
      <c r="M17" s="23">
        <f t="shared" si="9"/>
        <v>400</v>
      </c>
      <c r="N17" s="9">
        <f t="shared" si="5"/>
        <v>4800</v>
      </c>
      <c r="O17" s="9">
        <f>3557+1992+1993+18580</f>
        <v>26122</v>
      </c>
      <c r="P17" s="9">
        <f t="shared" si="6"/>
        <v>-21322</v>
      </c>
      <c r="Q17" t="s">
        <v>214</v>
      </c>
    </row>
    <row r="18" spans="1:20" x14ac:dyDescent="0.25">
      <c r="A18" s="21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9">
        <f>SUM(B18:M18)</f>
        <v>0</v>
      </c>
      <c r="O18" s="9"/>
      <c r="P18" s="9">
        <f t="shared" si="6"/>
        <v>0</v>
      </c>
      <c r="Q18" s="28"/>
      <c r="R18" s="28"/>
      <c r="S18" s="28"/>
      <c r="T18" s="28"/>
    </row>
    <row r="19" spans="1:20" x14ac:dyDescent="0.25">
      <c r="A19" s="21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9">
        <f t="shared" si="5"/>
        <v>0</v>
      </c>
      <c r="O19" s="9"/>
      <c r="P19" s="9">
        <f t="shared" si="6"/>
        <v>0</v>
      </c>
    </row>
    <row r="20" spans="1:20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9">
        <f t="shared" si="5"/>
        <v>0</v>
      </c>
      <c r="O20" s="9"/>
      <c r="P20" s="9">
        <f t="shared" si="6"/>
        <v>0</v>
      </c>
    </row>
    <row r="21" spans="1:20" x14ac:dyDescent="0.25">
      <c r="A21" s="21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9">
        <f t="shared" si="5"/>
        <v>0</v>
      </c>
      <c r="O21" s="9"/>
      <c r="P21" s="9">
        <f t="shared" si="6"/>
        <v>0</v>
      </c>
    </row>
    <row r="22" spans="1:20" x14ac:dyDescent="0.25">
      <c r="A22" s="21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  <c r="N22" s="9">
        <f t="shared" si="5"/>
        <v>0</v>
      </c>
      <c r="O22" s="9"/>
      <c r="P22" s="9">
        <f t="shared" si="6"/>
        <v>0</v>
      </c>
    </row>
    <row r="23" spans="1:20" x14ac:dyDescent="0.25">
      <c r="A23" s="21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9">
        <f t="shared" si="5"/>
        <v>0</v>
      </c>
      <c r="O23" s="9"/>
      <c r="P23" s="9">
        <f t="shared" si="6"/>
        <v>0</v>
      </c>
    </row>
    <row r="24" spans="1:20" x14ac:dyDescent="0.25">
      <c r="A24" s="21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  <c r="N24" s="9">
        <f t="shared" si="5"/>
        <v>0</v>
      </c>
      <c r="O24" s="9"/>
      <c r="P24" s="9">
        <f t="shared" si="6"/>
        <v>0</v>
      </c>
    </row>
    <row r="25" spans="1:20" x14ac:dyDescent="0.25">
      <c r="A25" s="21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  <c r="N25" s="9">
        <f t="shared" si="5"/>
        <v>0</v>
      </c>
      <c r="O25" s="9"/>
      <c r="P25" s="9">
        <f t="shared" si="6"/>
        <v>0</v>
      </c>
    </row>
    <row r="26" spans="1:20" x14ac:dyDescent="0.25">
      <c r="A26" s="21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  <c r="N26" s="9">
        <f t="shared" si="5"/>
        <v>0</v>
      </c>
      <c r="O26" s="9"/>
      <c r="P26" s="9">
        <f t="shared" si="6"/>
        <v>0</v>
      </c>
    </row>
    <row r="27" spans="1:20" x14ac:dyDescent="0.25">
      <c r="A27" s="21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9">
        <f t="shared" si="5"/>
        <v>0</v>
      </c>
      <c r="O27" s="9"/>
      <c r="P27" s="9">
        <f t="shared" si="6"/>
        <v>0</v>
      </c>
    </row>
    <row r="28" spans="1:20" x14ac:dyDescent="0.25">
      <c r="A28" s="21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0"/>
      <c r="N28" s="9">
        <f t="shared" si="5"/>
        <v>0</v>
      </c>
      <c r="O28" s="9"/>
      <c r="P28" s="9">
        <f t="shared" si="6"/>
        <v>0</v>
      </c>
    </row>
    <row r="29" spans="1:20" x14ac:dyDescent="0.25">
      <c r="A29" s="21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9">
        <f t="shared" si="5"/>
        <v>0</v>
      </c>
      <c r="O29" s="9"/>
      <c r="P29" s="9">
        <f t="shared" si="6"/>
        <v>0</v>
      </c>
    </row>
    <row r="30" spans="1:20" ht="15.75" thickBo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9">
        <f t="shared" si="5"/>
        <v>0</v>
      </c>
      <c r="O30" s="9"/>
      <c r="P30" s="9">
        <f t="shared" si="6"/>
        <v>0</v>
      </c>
    </row>
    <row r="31" spans="1:20" s="1" customFormat="1" ht="15.75" thickBot="1" x14ac:dyDescent="0.3">
      <c r="A31" s="10" t="s">
        <v>1</v>
      </c>
      <c r="B31" s="14">
        <f t="shared" ref="B31:P31" si="10">SUM(B13:B30)</f>
        <v>17320</v>
      </c>
      <c r="C31" s="14">
        <f t="shared" si="10"/>
        <v>17320</v>
      </c>
      <c r="D31" s="14">
        <f t="shared" si="10"/>
        <v>17320</v>
      </c>
      <c r="E31" s="14">
        <f t="shared" si="10"/>
        <v>17320</v>
      </c>
      <c r="F31" s="14">
        <f t="shared" si="10"/>
        <v>17320</v>
      </c>
      <c r="G31" s="14">
        <f t="shared" si="10"/>
        <v>17320</v>
      </c>
      <c r="H31" s="14">
        <f t="shared" si="10"/>
        <v>17320</v>
      </c>
      <c r="I31" s="14">
        <f t="shared" si="10"/>
        <v>17320</v>
      </c>
      <c r="J31" s="14">
        <f t="shared" si="10"/>
        <v>17320</v>
      </c>
      <c r="K31" s="14">
        <f t="shared" si="10"/>
        <v>17320</v>
      </c>
      <c r="L31" s="14">
        <f t="shared" si="10"/>
        <v>17320</v>
      </c>
      <c r="M31" s="15">
        <f t="shared" si="10"/>
        <v>17320</v>
      </c>
      <c r="N31" s="16">
        <f t="shared" si="10"/>
        <v>207840</v>
      </c>
      <c r="O31" s="16">
        <f t="shared" si="10"/>
        <v>555789</v>
      </c>
      <c r="P31" s="16">
        <f t="shared" si="10"/>
        <v>-347949</v>
      </c>
    </row>
    <row r="32" spans="1:20" ht="15.75" thickBot="1" x14ac:dyDescent="0.3"/>
    <row r="33" spans="1:16" s="1" customFormat="1" ht="15.75" thickBot="1" x14ac:dyDescent="0.3">
      <c r="A33" s="29" t="s">
        <v>121</v>
      </c>
      <c r="B33" s="30">
        <f t="shared" ref="B33:P33" si="11">B8-B31</f>
        <v>125180</v>
      </c>
      <c r="C33" s="30">
        <f t="shared" si="11"/>
        <v>125180</v>
      </c>
      <c r="D33" s="30">
        <f t="shared" si="11"/>
        <v>125180</v>
      </c>
      <c r="E33" s="30">
        <f t="shared" si="11"/>
        <v>125180</v>
      </c>
      <c r="F33" s="30">
        <f t="shared" si="11"/>
        <v>125180</v>
      </c>
      <c r="G33" s="30">
        <f t="shared" si="11"/>
        <v>125180</v>
      </c>
      <c r="H33" s="30">
        <f t="shared" si="11"/>
        <v>125180</v>
      </c>
      <c r="I33" s="30">
        <f t="shared" si="11"/>
        <v>125180</v>
      </c>
      <c r="J33" s="30">
        <f t="shared" si="11"/>
        <v>125180</v>
      </c>
      <c r="K33" s="30">
        <f t="shared" si="11"/>
        <v>125180</v>
      </c>
      <c r="L33" s="30">
        <f t="shared" si="11"/>
        <v>125180</v>
      </c>
      <c r="M33" s="31">
        <f t="shared" si="11"/>
        <v>125180</v>
      </c>
      <c r="N33" s="32">
        <f t="shared" si="11"/>
        <v>1502160</v>
      </c>
      <c r="O33" s="32">
        <f t="shared" si="11"/>
        <v>1171278</v>
      </c>
      <c r="P33" s="32">
        <f t="shared" si="11"/>
        <v>330882</v>
      </c>
    </row>
    <row r="35" spans="1:16" x14ac:dyDescent="0.25">
      <c r="N35" s="17"/>
      <c r="O35" s="17"/>
      <c r="P35" s="17"/>
    </row>
    <row r="38" spans="1:16" x14ac:dyDescent="0.25">
      <c r="A38" s="40" t="s">
        <v>156</v>
      </c>
    </row>
    <row r="40" spans="1:16" x14ac:dyDescent="0.25">
      <c r="A40" s="37" t="s">
        <v>155</v>
      </c>
      <c r="B40" s="23">
        <v>6221</v>
      </c>
      <c r="C40" s="23">
        <v>6221</v>
      </c>
      <c r="D40" s="23">
        <v>6209</v>
      </c>
      <c r="E40" s="23">
        <v>6209</v>
      </c>
      <c r="F40" s="23">
        <v>6228</v>
      </c>
      <c r="G40" s="23">
        <v>6228</v>
      </c>
      <c r="H40" s="23">
        <v>6228</v>
      </c>
      <c r="I40" s="23">
        <v>6228</v>
      </c>
      <c r="J40" s="23">
        <v>6228</v>
      </c>
      <c r="K40" s="23">
        <v>6228</v>
      </c>
      <c r="L40" s="23">
        <v>6228</v>
      </c>
      <c r="M40" s="23">
        <v>6228</v>
      </c>
      <c r="N40" s="9">
        <f>SUM(B40:M40)</f>
        <v>74684</v>
      </c>
    </row>
    <row r="41" spans="1:16" x14ac:dyDescent="0.25">
      <c r="A41" s="37" t="s">
        <v>175</v>
      </c>
      <c r="B41" s="23">
        <v>1513</v>
      </c>
      <c r="C41" s="33">
        <v>1513</v>
      </c>
      <c r="D41" s="33">
        <v>1513</v>
      </c>
      <c r="E41" s="33">
        <v>1513</v>
      </c>
      <c r="F41" s="33">
        <v>1513</v>
      </c>
      <c r="G41" s="33">
        <v>1513</v>
      </c>
      <c r="H41" s="33">
        <v>1513</v>
      </c>
      <c r="I41" s="33">
        <v>1513</v>
      </c>
      <c r="J41" s="33">
        <v>1513</v>
      </c>
      <c r="K41" s="33">
        <v>1513</v>
      </c>
      <c r="L41" s="33">
        <v>1513</v>
      </c>
      <c r="M41" s="33">
        <v>1513</v>
      </c>
      <c r="N41" s="9">
        <f t="shared" ref="N41:N61" si="12">SUM(B41:M41)</f>
        <v>18156</v>
      </c>
    </row>
    <row r="42" spans="1:16" x14ac:dyDescent="0.25">
      <c r="A42" s="37" t="s">
        <v>158</v>
      </c>
      <c r="B42" s="23">
        <v>2696</v>
      </c>
      <c r="C42" s="33">
        <v>2696</v>
      </c>
      <c r="D42" s="33">
        <v>2696</v>
      </c>
      <c r="E42" s="33">
        <v>2696</v>
      </c>
      <c r="F42" s="33">
        <v>2696</v>
      </c>
      <c r="G42" s="33">
        <v>2696</v>
      </c>
      <c r="H42" s="33">
        <v>2696</v>
      </c>
      <c r="I42" s="33">
        <v>2696</v>
      </c>
      <c r="J42" s="33">
        <v>2696</v>
      </c>
      <c r="K42" s="33">
        <v>2696</v>
      </c>
      <c r="L42" s="33">
        <v>2696</v>
      </c>
      <c r="M42" s="33">
        <v>2696</v>
      </c>
      <c r="N42" s="9">
        <f t="shared" si="12"/>
        <v>32352</v>
      </c>
    </row>
    <row r="43" spans="1:16" x14ac:dyDescent="0.25">
      <c r="A43" s="37" t="s">
        <v>159</v>
      </c>
      <c r="B43" s="23">
        <v>8000</v>
      </c>
      <c r="C43" s="33">
        <v>8000</v>
      </c>
      <c r="D43" s="33">
        <v>8000</v>
      </c>
      <c r="E43" s="33">
        <v>8000</v>
      </c>
      <c r="F43" s="33">
        <v>8000</v>
      </c>
      <c r="G43" s="33">
        <v>8000</v>
      </c>
      <c r="H43" s="33">
        <v>8000</v>
      </c>
      <c r="I43" s="33">
        <v>8000</v>
      </c>
      <c r="J43" s="33">
        <v>8000</v>
      </c>
      <c r="K43" s="33">
        <v>8000</v>
      </c>
      <c r="L43" s="33">
        <v>8000</v>
      </c>
      <c r="M43" s="33">
        <v>8000</v>
      </c>
      <c r="N43" s="9">
        <f t="shared" si="12"/>
        <v>96000</v>
      </c>
    </row>
    <row r="44" spans="1:16" x14ac:dyDescent="0.25">
      <c r="A44" s="49" t="s">
        <v>160</v>
      </c>
      <c r="B44" s="23">
        <v>300</v>
      </c>
      <c r="C44" s="33">
        <v>300</v>
      </c>
      <c r="D44" s="33">
        <v>300</v>
      </c>
      <c r="E44" s="33">
        <v>300</v>
      </c>
      <c r="F44" s="33">
        <v>300</v>
      </c>
      <c r="G44" s="33">
        <v>300</v>
      </c>
      <c r="H44" s="33">
        <v>300</v>
      </c>
      <c r="I44" s="33">
        <v>300</v>
      </c>
      <c r="J44" s="33">
        <v>300</v>
      </c>
      <c r="K44" s="33">
        <v>300</v>
      </c>
      <c r="L44" s="33">
        <v>300</v>
      </c>
      <c r="M44" s="33">
        <v>300</v>
      </c>
      <c r="N44" s="9">
        <f t="shared" si="12"/>
        <v>3600</v>
      </c>
      <c r="O44" s="1" t="s">
        <v>172</v>
      </c>
    </row>
    <row r="45" spans="1:16" x14ac:dyDescent="0.25">
      <c r="A45" s="49" t="s">
        <v>161</v>
      </c>
      <c r="B45" s="23">
        <v>214</v>
      </c>
      <c r="C45" s="33">
        <v>214</v>
      </c>
      <c r="D45" s="33">
        <v>214</v>
      </c>
      <c r="E45" s="33">
        <v>214</v>
      </c>
      <c r="F45" s="33">
        <v>214</v>
      </c>
      <c r="G45" s="33">
        <v>214</v>
      </c>
      <c r="H45" s="33">
        <v>214</v>
      </c>
      <c r="I45" s="33">
        <v>214</v>
      </c>
      <c r="J45" s="33">
        <v>214</v>
      </c>
      <c r="K45" s="33">
        <v>214</v>
      </c>
      <c r="L45" s="33">
        <v>214</v>
      </c>
      <c r="M45" s="33">
        <v>214</v>
      </c>
      <c r="N45" s="9">
        <f t="shared" si="12"/>
        <v>2568</v>
      </c>
    </row>
    <row r="46" spans="1:16" x14ac:dyDescent="0.25">
      <c r="A46" s="37" t="s">
        <v>166</v>
      </c>
      <c r="B46" s="23">
        <v>604</v>
      </c>
      <c r="C46" s="33">
        <v>604</v>
      </c>
      <c r="D46" s="33">
        <v>604</v>
      </c>
      <c r="E46" s="33">
        <v>604</v>
      </c>
      <c r="F46" s="33">
        <v>604</v>
      </c>
      <c r="G46" s="33">
        <v>604</v>
      </c>
      <c r="H46" s="33">
        <v>604</v>
      </c>
      <c r="I46" s="33">
        <v>604</v>
      </c>
      <c r="J46" s="33">
        <v>604</v>
      </c>
      <c r="K46" s="33">
        <v>604</v>
      </c>
      <c r="L46" s="33">
        <v>604</v>
      </c>
      <c r="M46" s="33">
        <v>604</v>
      </c>
      <c r="N46" s="9">
        <f>SUM(B46:M46)</f>
        <v>7248</v>
      </c>
    </row>
    <row r="47" spans="1:16" x14ac:dyDescent="0.25">
      <c r="A47" s="49" t="s">
        <v>162</v>
      </c>
      <c r="B47" s="23">
        <v>484</v>
      </c>
      <c r="C47" s="33">
        <v>484</v>
      </c>
      <c r="D47" s="33">
        <v>484</v>
      </c>
      <c r="E47" s="33">
        <v>484</v>
      </c>
      <c r="F47" s="33">
        <v>484</v>
      </c>
      <c r="G47" s="33">
        <v>484</v>
      </c>
      <c r="H47" s="33">
        <v>484</v>
      </c>
      <c r="I47" s="33">
        <v>484</v>
      </c>
      <c r="J47" s="33">
        <v>484</v>
      </c>
      <c r="K47" s="33">
        <v>484</v>
      </c>
      <c r="L47" s="33">
        <v>484</v>
      </c>
      <c r="M47" s="33">
        <v>484</v>
      </c>
      <c r="N47" s="9">
        <f t="shared" ref="N47:N59" si="13">SUM(B47:M47)</f>
        <v>5808</v>
      </c>
    </row>
    <row r="48" spans="1:16" x14ac:dyDescent="0.25">
      <c r="A48" s="37" t="s">
        <v>163</v>
      </c>
      <c r="B48" s="23">
        <f>2187/12</f>
        <v>182.25</v>
      </c>
      <c r="C48" s="33">
        <f t="shared" ref="C48:M48" si="14">2187/12</f>
        <v>182.25</v>
      </c>
      <c r="D48" s="33">
        <f t="shared" si="14"/>
        <v>182.25</v>
      </c>
      <c r="E48" s="33">
        <f t="shared" si="14"/>
        <v>182.25</v>
      </c>
      <c r="F48" s="33">
        <f t="shared" si="14"/>
        <v>182.25</v>
      </c>
      <c r="G48" s="33">
        <f t="shared" si="14"/>
        <v>182.25</v>
      </c>
      <c r="H48" s="33">
        <f t="shared" si="14"/>
        <v>182.25</v>
      </c>
      <c r="I48" s="33">
        <f t="shared" si="14"/>
        <v>182.25</v>
      </c>
      <c r="J48" s="33">
        <f t="shared" si="14"/>
        <v>182.25</v>
      </c>
      <c r="K48" s="33">
        <f t="shared" si="14"/>
        <v>182.25</v>
      </c>
      <c r="L48" s="33">
        <f t="shared" si="14"/>
        <v>182.25</v>
      </c>
      <c r="M48" s="33">
        <f t="shared" si="14"/>
        <v>182.25</v>
      </c>
      <c r="N48" s="9">
        <f t="shared" si="13"/>
        <v>2187</v>
      </c>
    </row>
    <row r="49" spans="1:16" x14ac:dyDescent="0.25">
      <c r="A49" s="49" t="s">
        <v>164</v>
      </c>
      <c r="B49" s="23">
        <f>500*$B$90/29105342.1</f>
        <v>578.99841520845757</v>
      </c>
      <c r="C49" s="23">
        <f t="shared" ref="C49:M49" si="15">500*$B$90/29105342.1</f>
        <v>578.99841520845757</v>
      </c>
      <c r="D49" s="23">
        <f t="shared" si="15"/>
        <v>578.99841520845757</v>
      </c>
      <c r="E49" s="23">
        <f t="shared" si="15"/>
        <v>578.99841520845757</v>
      </c>
      <c r="F49" s="23">
        <f t="shared" si="15"/>
        <v>578.99841520845757</v>
      </c>
      <c r="G49" s="23">
        <f t="shared" si="15"/>
        <v>578.99841520845757</v>
      </c>
      <c r="H49" s="23">
        <f t="shared" si="15"/>
        <v>578.99841520845757</v>
      </c>
      <c r="I49" s="23">
        <f t="shared" si="15"/>
        <v>578.99841520845757</v>
      </c>
      <c r="J49" s="23">
        <f t="shared" si="15"/>
        <v>578.99841520845757</v>
      </c>
      <c r="K49" s="23">
        <f t="shared" si="15"/>
        <v>578.99841520845757</v>
      </c>
      <c r="L49" s="23">
        <f t="shared" si="15"/>
        <v>578.99841520845757</v>
      </c>
      <c r="M49" s="23">
        <f t="shared" si="15"/>
        <v>578.99841520845757</v>
      </c>
      <c r="N49" s="9">
        <f t="shared" si="13"/>
        <v>6947.9809825014927</v>
      </c>
    </row>
    <row r="50" spans="1:16" x14ac:dyDescent="0.25">
      <c r="A50" s="37" t="s">
        <v>165</v>
      </c>
      <c r="B50" s="23">
        <f>880*$B$90/14006581.94</f>
        <v>2117.5349388631785</v>
      </c>
      <c r="C50" s="23">
        <f t="shared" ref="C50:M50" si="16">880*$B$90/14006581.94</f>
        <v>2117.5349388631785</v>
      </c>
      <c r="D50" s="23">
        <f t="shared" si="16"/>
        <v>2117.5349388631785</v>
      </c>
      <c r="E50" s="23">
        <f t="shared" si="16"/>
        <v>2117.5349388631785</v>
      </c>
      <c r="F50" s="23">
        <f t="shared" si="16"/>
        <v>2117.5349388631785</v>
      </c>
      <c r="G50" s="23">
        <f t="shared" si="16"/>
        <v>2117.5349388631785</v>
      </c>
      <c r="H50" s="23">
        <f t="shared" si="16"/>
        <v>2117.5349388631785</v>
      </c>
      <c r="I50" s="23">
        <f t="shared" si="16"/>
        <v>2117.5349388631785</v>
      </c>
      <c r="J50" s="23">
        <f t="shared" si="16"/>
        <v>2117.5349388631785</v>
      </c>
      <c r="K50" s="23">
        <f t="shared" si="16"/>
        <v>2117.5349388631785</v>
      </c>
      <c r="L50" s="23">
        <f t="shared" si="16"/>
        <v>2117.5349388631785</v>
      </c>
      <c r="M50" s="23">
        <f t="shared" si="16"/>
        <v>2117.5349388631785</v>
      </c>
      <c r="N50" s="9">
        <f t="shared" si="13"/>
        <v>25410.419266358149</v>
      </c>
    </row>
    <row r="51" spans="1:16" x14ac:dyDescent="0.25">
      <c r="A51" s="37" t="s">
        <v>167</v>
      </c>
      <c r="B51" s="33">
        <v>604</v>
      </c>
      <c r="C51" s="33">
        <v>604</v>
      </c>
      <c r="D51" s="33">
        <v>604</v>
      </c>
      <c r="E51" s="33">
        <v>604</v>
      </c>
      <c r="F51" s="33">
        <v>604</v>
      </c>
      <c r="G51" s="33">
        <v>604</v>
      </c>
      <c r="H51" s="33">
        <v>604</v>
      </c>
      <c r="I51" s="33">
        <v>604</v>
      </c>
      <c r="J51" s="33">
        <v>604</v>
      </c>
      <c r="K51" s="33">
        <v>604</v>
      </c>
      <c r="L51" s="33">
        <v>604</v>
      </c>
      <c r="M51" s="33">
        <v>604</v>
      </c>
      <c r="N51" s="9">
        <f t="shared" si="13"/>
        <v>7248</v>
      </c>
    </row>
    <row r="52" spans="1:16" x14ac:dyDescent="0.25">
      <c r="A52" s="37" t="s">
        <v>174</v>
      </c>
      <c r="B52" s="33">
        <f>1575/12</f>
        <v>131.25</v>
      </c>
      <c r="C52" s="33">
        <f t="shared" ref="C52:M52" si="17">1575/12</f>
        <v>131.25</v>
      </c>
      <c r="D52" s="33">
        <f t="shared" si="17"/>
        <v>131.25</v>
      </c>
      <c r="E52" s="33">
        <f t="shared" si="17"/>
        <v>131.25</v>
      </c>
      <c r="F52" s="33">
        <f t="shared" si="17"/>
        <v>131.25</v>
      </c>
      <c r="G52" s="33">
        <f t="shared" si="17"/>
        <v>131.25</v>
      </c>
      <c r="H52" s="33">
        <f t="shared" si="17"/>
        <v>131.25</v>
      </c>
      <c r="I52" s="33">
        <f t="shared" si="17"/>
        <v>131.25</v>
      </c>
      <c r="J52" s="33">
        <f t="shared" si="17"/>
        <v>131.25</v>
      </c>
      <c r="K52" s="33">
        <f t="shared" si="17"/>
        <v>131.25</v>
      </c>
      <c r="L52" s="33">
        <f t="shared" si="17"/>
        <v>131.25</v>
      </c>
      <c r="M52" s="33">
        <f t="shared" si="17"/>
        <v>131.25</v>
      </c>
      <c r="N52" s="9">
        <f t="shared" si="13"/>
        <v>1575</v>
      </c>
    </row>
    <row r="53" spans="1:16" x14ac:dyDescent="0.25">
      <c r="A53" s="37" t="s">
        <v>168</v>
      </c>
      <c r="B53" s="23">
        <f>1000*$B$91</f>
        <v>3800</v>
      </c>
      <c r="C53" s="23">
        <f t="shared" ref="C53:M53" si="18">1000*$B$91</f>
        <v>3800</v>
      </c>
      <c r="D53" s="23">
        <f t="shared" si="18"/>
        <v>3800</v>
      </c>
      <c r="E53" s="23">
        <f t="shared" si="18"/>
        <v>3800</v>
      </c>
      <c r="F53" s="23">
        <f t="shared" si="18"/>
        <v>3800</v>
      </c>
      <c r="G53" s="23">
        <f t="shared" si="18"/>
        <v>3800</v>
      </c>
      <c r="H53" s="23">
        <f t="shared" si="18"/>
        <v>3800</v>
      </c>
      <c r="I53" s="23">
        <f t="shared" si="18"/>
        <v>3800</v>
      </c>
      <c r="J53" s="23">
        <f t="shared" si="18"/>
        <v>3800</v>
      </c>
      <c r="K53" s="23">
        <f t="shared" si="18"/>
        <v>3800</v>
      </c>
      <c r="L53" s="23">
        <f t="shared" si="18"/>
        <v>3800</v>
      </c>
      <c r="M53" s="23">
        <f t="shared" si="18"/>
        <v>3800</v>
      </c>
      <c r="N53" s="9">
        <f t="shared" si="13"/>
        <v>45600</v>
      </c>
    </row>
    <row r="54" spans="1:16" x14ac:dyDescent="0.25">
      <c r="A54" s="37" t="s">
        <v>171</v>
      </c>
      <c r="B54" s="23">
        <f>200*$B$91</f>
        <v>760</v>
      </c>
      <c r="C54" s="23">
        <f t="shared" ref="C54:M54" si="19">200*$B$91</f>
        <v>760</v>
      </c>
      <c r="D54" s="23">
        <f t="shared" si="19"/>
        <v>760</v>
      </c>
      <c r="E54" s="23">
        <f t="shared" si="19"/>
        <v>760</v>
      </c>
      <c r="F54" s="23">
        <f t="shared" si="19"/>
        <v>760</v>
      </c>
      <c r="G54" s="23">
        <f t="shared" si="19"/>
        <v>760</v>
      </c>
      <c r="H54" s="23">
        <f t="shared" si="19"/>
        <v>760</v>
      </c>
      <c r="I54" s="23">
        <f t="shared" si="19"/>
        <v>760</v>
      </c>
      <c r="J54" s="23">
        <f t="shared" si="19"/>
        <v>760</v>
      </c>
      <c r="K54" s="23">
        <f t="shared" si="19"/>
        <v>760</v>
      </c>
      <c r="L54" s="23">
        <f t="shared" si="19"/>
        <v>760</v>
      </c>
      <c r="M54" s="23">
        <f t="shared" si="19"/>
        <v>760</v>
      </c>
      <c r="N54" s="9">
        <f t="shared" si="13"/>
        <v>9120</v>
      </c>
    </row>
    <row r="55" spans="1:16" x14ac:dyDescent="0.25">
      <c r="A55" s="37" t="s">
        <v>179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9">
        <f t="shared" si="13"/>
        <v>0</v>
      </c>
    </row>
    <row r="56" spans="1:16" x14ac:dyDescent="0.25">
      <c r="A56" s="37" t="s">
        <v>188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9">
        <f t="shared" si="13"/>
        <v>0</v>
      </c>
    </row>
    <row r="57" spans="1:16" x14ac:dyDescent="0.25">
      <c r="A57" s="37" t="s">
        <v>189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9">
        <f t="shared" si="13"/>
        <v>0</v>
      </c>
    </row>
    <row r="58" spans="1:16" x14ac:dyDescent="0.25">
      <c r="A58" s="37" t="s">
        <v>241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9"/>
    </row>
    <row r="59" spans="1:16" x14ac:dyDescent="0.25">
      <c r="A59" s="37" t="s">
        <v>242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9">
        <f t="shared" si="13"/>
        <v>0</v>
      </c>
    </row>
    <row r="60" spans="1:16" x14ac:dyDescent="0.25">
      <c r="N60" s="9">
        <f t="shared" si="12"/>
        <v>0</v>
      </c>
    </row>
    <row r="61" spans="1:16" x14ac:dyDescent="0.25">
      <c r="A61" s="37" t="s">
        <v>157</v>
      </c>
      <c r="B61" s="38">
        <f t="shared" ref="B61:M61" si="20">SUM(B40:B60)</f>
        <v>28206.033354071638</v>
      </c>
      <c r="C61" s="38">
        <f t="shared" si="20"/>
        <v>28206.033354071638</v>
      </c>
      <c r="D61" s="38">
        <f t="shared" si="20"/>
        <v>28194.033354071638</v>
      </c>
      <c r="E61" s="38">
        <f t="shared" si="20"/>
        <v>28194.033354071638</v>
      </c>
      <c r="F61" s="38">
        <f t="shared" si="20"/>
        <v>28213.033354071638</v>
      </c>
      <c r="G61" s="38">
        <f t="shared" si="20"/>
        <v>28213.033354071638</v>
      </c>
      <c r="H61" s="38">
        <f t="shared" si="20"/>
        <v>28213.033354071638</v>
      </c>
      <c r="I61" s="38">
        <f t="shared" si="20"/>
        <v>28213.033354071638</v>
      </c>
      <c r="J61" s="38">
        <f t="shared" si="20"/>
        <v>28213.033354071638</v>
      </c>
      <c r="K61" s="38">
        <f t="shared" si="20"/>
        <v>28213.033354071638</v>
      </c>
      <c r="L61" s="38">
        <f t="shared" si="20"/>
        <v>28213.033354071638</v>
      </c>
      <c r="M61" s="38">
        <f t="shared" si="20"/>
        <v>28213.033354071638</v>
      </c>
      <c r="N61" s="39">
        <f t="shared" si="12"/>
        <v>338504.40024885966</v>
      </c>
    </row>
    <row r="62" spans="1:16" s="28" customFormat="1" x14ac:dyDescent="0.25">
      <c r="A62" s="4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7"/>
      <c r="O62" s="48"/>
      <c r="P62" s="48"/>
    </row>
    <row r="63" spans="1:16" s="28" customFormat="1" x14ac:dyDescent="0.25">
      <c r="A63" s="4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7"/>
      <c r="O63" s="48"/>
      <c r="P63" s="48"/>
    </row>
    <row r="64" spans="1:16" x14ac:dyDescent="0.25">
      <c r="A64" s="40" t="s">
        <v>176</v>
      </c>
    </row>
    <row r="66" spans="1:16" x14ac:dyDescent="0.25">
      <c r="A66" s="37" t="s">
        <v>180</v>
      </c>
      <c r="B66" s="23">
        <f>ROUND((2353.5*115)/12,0)</f>
        <v>22554</v>
      </c>
      <c r="C66" s="23">
        <f t="shared" ref="C66:M66" si="21">ROUND((2353.5*115)/12,0)</f>
        <v>22554</v>
      </c>
      <c r="D66" s="23">
        <f t="shared" si="21"/>
        <v>22554</v>
      </c>
      <c r="E66" s="23">
        <f t="shared" si="21"/>
        <v>22554</v>
      </c>
      <c r="F66" s="23">
        <f t="shared" si="21"/>
        <v>22554</v>
      </c>
      <c r="G66" s="23">
        <f t="shared" si="21"/>
        <v>22554</v>
      </c>
      <c r="H66" s="23">
        <f t="shared" si="21"/>
        <v>22554</v>
      </c>
      <c r="I66" s="23">
        <f t="shared" si="21"/>
        <v>22554</v>
      </c>
      <c r="J66" s="23">
        <f t="shared" si="21"/>
        <v>22554</v>
      </c>
      <c r="K66" s="23">
        <f t="shared" si="21"/>
        <v>22554</v>
      </c>
      <c r="L66" s="23">
        <f t="shared" si="21"/>
        <v>22554</v>
      </c>
      <c r="M66" s="23">
        <f t="shared" si="21"/>
        <v>22554</v>
      </c>
      <c r="N66" s="9">
        <f>SUM(B66:M66)</f>
        <v>270648</v>
      </c>
      <c r="O66" s="51" t="s">
        <v>181</v>
      </c>
      <c r="P66" s="51"/>
    </row>
    <row r="67" spans="1:16" x14ac:dyDescent="0.25">
      <c r="A67" s="7" t="s">
        <v>182</v>
      </c>
      <c r="B67" s="33">
        <f>ROUND(145500/12,0)</f>
        <v>12125</v>
      </c>
      <c r="C67" s="33">
        <f t="shared" ref="C67:M67" si="22">ROUND(145500/12,0)</f>
        <v>12125</v>
      </c>
      <c r="D67" s="33">
        <f t="shared" si="22"/>
        <v>12125</v>
      </c>
      <c r="E67" s="33">
        <f t="shared" si="22"/>
        <v>12125</v>
      </c>
      <c r="F67" s="33">
        <f t="shared" si="22"/>
        <v>12125</v>
      </c>
      <c r="G67" s="33">
        <f t="shared" si="22"/>
        <v>12125</v>
      </c>
      <c r="H67" s="33">
        <f t="shared" si="22"/>
        <v>12125</v>
      </c>
      <c r="I67" s="33">
        <f t="shared" si="22"/>
        <v>12125</v>
      </c>
      <c r="J67" s="33">
        <f t="shared" si="22"/>
        <v>12125</v>
      </c>
      <c r="K67" s="33">
        <f t="shared" si="22"/>
        <v>12125</v>
      </c>
      <c r="L67" s="33">
        <f t="shared" si="22"/>
        <v>12125</v>
      </c>
      <c r="M67" s="33">
        <f t="shared" si="22"/>
        <v>12125</v>
      </c>
      <c r="N67" s="9">
        <f t="shared" ref="N67:N71" si="23">SUM(B67:M67)</f>
        <v>145500</v>
      </c>
    </row>
    <row r="68" spans="1:16" x14ac:dyDescent="0.25">
      <c r="A68" s="7" t="s">
        <v>184</v>
      </c>
      <c r="B68" s="33">
        <f>ROUND((2050*75)/12,0)</f>
        <v>12813</v>
      </c>
      <c r="C68" s="33">
        <f t="shared" ref="C68:M68" si="24">ROUND((2050*75)/12,0)</f>
        <v>12813</v>
      </c>
      <c r="D68" s="33">
        <f t="shared" si="24"/>
        <v>12813</v>
      </c>
      <c r="E68" s="33">
        <f t="shared" si="24"/>
        <v>12813</v>
      </c>
      <c r="F68" s="33">
        <f t="shared" si="24"/>
        <v>12813</v>
      </c>
      <c r="G68" s="33">
        <f t="shared" si="24"/>
        <v>12813</v>
      </c>
      <c r="H68" s="33">
        <f t="shared" si="24"/>
        <v>12813</v>
      </c>
      <c r="I68" s="33">
        <f t="shared" si="24"/>
        <v>12813</v>
      </c>
      <c r="J68" s="33">
        <f t="shared" si="24"/>
        <v>12813</v>
      </c>
      <c r="K68" s="33">
        <f t="shared" si="24"/>
        <v>12813</v>
      </c>
      <c r="L68" s="33">
        <f t="shared" si="24"/>
        <v>12813</v>
      </c>
      <c r="M68" s="33">
        <f t="shared" si="24"/>
        <v>12813</v>
      </c>
      <c r="N68" s="9">
        <f t="shared" si="23"/>
        <v>153756</v>
      </c>
    </row>
    <row r="69" spans="1:16" x14ac:dyDescent="0.25">
      <c r="A69" s="7" t="s">
        <v>186</v>
      </c>
      <c r="B69" s="23">
        <f>ROUND(189001/12,0)</f>
        <v>15750</v>
      </c>
      <c r="C69" s="23">
        <f t="shared" ref="C69:M69" si="25">ROUND(189001/12,0)</f>
        <v>15750</v>
      </c>
      <c r="D69" s="23">
        <f t="shared" si="25"/>
        <v>15750</v>
      </c>
      <c r="E69" s="23">
        <f t="shared" si="25"/>
        <v>15750</v>
      </c>
      <c r="F69" s="23">
        <f t="shared" si="25"/>
        <v>15750</v>
      </c>
      <c r="G69" s="23">
        <f t="shared" si="25"/>
        <v>15750</v>
      </c>
      <c r="H69" s="23">
        <f t="shared" si="25"/>
        <v>15750</v>
      </c>
      <c r="I69" s="23">
        <f t="shared" si="25"/>
        <v>15750</v>
      </c>
      <c r="J69" s="23">
        <f t="shared" si="25"/>
        <v>15750</v>
      </c>
      <c r="K69" s="23">
        <f t="shared" si="25"/>
        <v>15750</v>
      </c>
      <c r="L69" s="23">
        <f t="shared" si="25"/>
        <v>15750</v>
      </c>
      <c r="M69" s="23">
        <f t="shared" si="25"/>
        <v>15750</v>
      </c>
      <c r="N69" s="9">
        <f t="shared" si="23"/>
        <v>189000</v>
      </c>
    </row>
    <row r="70" spans="1:16" x14ac:dyDescent="0.25">
      <c r="A70" s="7" t="s">
        <v>185</v>
      </c>
      <c r="B70" s="23">
        <f>ROUND(25177*18/12,0)</f>
        <v>37766</v>
      </c>
      <c r="C70" s="23">
        <f t="shared" ref="C70:M70" si="26">ROUND(25177*18/12,0)</f>
        <v>37766</v>
      </c>
      <c r="D70" s="23">
        <f t="shared" si="26"/>
        <v>37766</v>
      </c>
      <c r="E70" s="23">
        <f t="shared" si="26"/>
        <v>37766</v>
      </c>
      <c r="F70" s="23">
        <f t="shared" si="26"/>
        <v>37766</v>
      </c>
      <c r="G70" s="23">
        <f t="shared" si="26"/>
        <v>37766</v>
      </c>
      <c r="H70" s="23">
        <f t="shared" si="26"/>
        <v>37766</v>
      </c>
      <c r="I70" s="23">
        <f t="shared" si="26"/>
        <v>37766</v>
      </c>
      <c r="J70" s="23">
        <f t="shared" si="26"/>
        <v>37766</v>
      </c>
      <c r="K70" s="23">
        <f t="shared" si="26"/>
        <v>37766</v>
      </c>
      <c r="L70" s="23">
        <f t="shared" si="26"/>
        <v>37766</v>
      </c>
      <c r="M70" s="23">
        <f t="shared" si="26"/>
        <v>37766</v>
      </c>
      <c r="N70" s="9">
        <f t="shared" si="23"/>
        <v>453192</v>
      </c>
    </row>
    <row r="71" spans="1:16" x14ac:dyDescent="0.25">
      <c r="A71" s="21" t="s">
        <v>187</v>
      </c>
      <c r="B71" s="23">
        <f>ROUND((98000/1.17)/12,0)</f>
        <v>6980</v>
      </c>
      <c r="C71" s="23">
        <f t="shared" ref="C71:M71" si="27">ROUND((98000/1.17)/12,0)</f>
        <v>6980</v>
      </c>
      <c r="D71" s="23">
        <f t="shared" si="27"/>
        <v>6980</v>
      </c>
      <c r="E71" s="23">
        <f t="shared" si="27"/>
        <v>6980</v>
      </c>
      <c r="F71" s="23">
        <f t="shared" si="27"/>
        <v>6980</v>
      </c>
      <c r="G71" s="23">
        <f t="shared" si="27"/>
        <v>6980</v>
      </c>
      <c r="H71" s="23">
        <f t="shared" si="27"/>
        <v>6980</v>
      </c>
      <c r="I71" s="23">
        <f t="shared" si="27"/>
        <v>6980</v>
      </c>
      <c r="J71" s="23">
        <f t="shared" si="27"/>
        <v>6980</v>
      </c>
      <c r="K71" s="23">
        <f t="shared" si="27"/>
        <v>6980</v>
      </c>
      <c r="L71" s="23">
        <f t="shared" si="27"/>
        <v>6980</v>
      </c>
      <c r="M71" s="23">
        <f t="shared" si="27"/>
        <v>6980</v>
      </c>
      <c r="N71" s="9">
        <f t="shared" si="23"/>
        <v>83760</v>
      </c>
    </row>
    <row r="72" spans="1:16" x14ac:dyDescent="0.25">
      <c r="A72" s="37" t="s">
        <v>183</v>
      </c>
      <c r="B72" s="33">
        <f>ROUND(40001/12,0)</f>
        <v>3333</v>
      </c>
      <c r="C72" s="33">
        <f t="shared" ref="C72:M72" si="28">ROUND(40001/12,0)</f>
        <v>3333</v>
      </c>
      <c r="D72" s="33">
        <f t="shared" si="28"/>
        <v>3333</v>
      </c>
      <c r="E72" s="33">
        <f t="shared" si="28"/>
        <v>3333</v>
      </c>
      <c r="F72" s="33">
        <f t="shared" si="28"/>
        <v>3333</v>
      </c>
      <c r="G72" s="33">
        <f t="shared" si="28"/>
        <v>3333</v>
      </c>
      <c r="H72" s="33">
        <f t="shared" si="28"/>
        <v>3333</v>
      </c>
      <c r="I72" s="33">
        <f t="shared" si="28"/>
        <v>3333</v>
      </c>
      <c r="J72" s="33">
        <f t="shared" si="28"/>
        <v>3333</v>
      </c>
      <c r="K72" s="33">
        <f t="shared" si="28"/>
        <v>3333</v>
      </c>
      <c r="L72" s="33">
        <f t="shared" si="28"/>
        <v>3333</v>
      </c>
      <c r="M72" s="33">
        <f t="shared" si="28"/>
        <v>3333</v>
      </c>
      <c r="N72" s="9">
        <f>SUM(B72:M72)</f>
        <v>39996</v>
      </c>
    </row>
    <row r="73" spans="1:16" x14ac:dyDescent="0.25">
      <c r="A73" s="37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9">
        <f t="shared" ref="N73:N85" si="29">SUM(B73:M73)</f>
        <v>0</v>
      </c>
    </row>
    <row r="74" spans="1:16" x14ac:dyDescent="0.25">
      <c r="A74" s="37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9">
        <f t="shared" si="29"/>
        <v>0</v>
      </c>
    </row>
    <row r="75" spans="1:16" x14ac:dyDescent="0.25">
      <c r="A75" s="37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9">
        <f t="shared" si="29"/>
        <v>0</v>
      </c>
    </row>
    <row r="76" spans="1:16" x14ac:dyDescent="0.25">
      <c r="A76" s="3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9">
        <f t="shared" si="29"/>
        <v>0</v>
      </c>
    </row>
    <row r="77" spans="1:16" x14ac:dyDescent="0.25">
      <c r="A77" s="37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9">
        <f t="shared" si="29"/>
        <v>0</v>
      </c>
    </row>
    <row r="78" spans="1:16" x14ac:dyDescent="0.25">
      <c r="A78" s="3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9">
        <f t="shared" si="29"/>
        <v>0</v>
      </c>
    </row>
    <row r="79" spans="1:16" x14ac:dyDescent="0.25">
      <c r="A79" s="37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9">
        <f t="shared" si="29"/>
        <v>0</v>
      </c>
    </row>
    <row r="80" spans="1:16" x14ac:dyDescent="0.25">
      <c r="A80" s="37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9">
        <f t="shared" si="29"/>
        <v>0</v>
      </c>
    </row>
    <row r="81" spans="1:16" x14ac:dyDescent="0.25">
      <c r="A81" s="37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9">
        <f t="shared" si="29"/>
        <v>0</v>
      </c>
    </row>
    <row r="82" spans="1:16" x14ac:dyDescent="0.25">
      <c r="A82" s="37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9">
        <f t="shared" si="29"/>
        <v>0</v>
      </c>
    </row>
    <row r="83" spans="1:16" x14ac:dyDescent="0.25">
      <c r="A83" s="37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9">
        <f t="shared" si="29"/>
        <v>0</v>
      </c>
    </row>
    <row r="84" spans="1:16" x14ac:dyDescent="0.25">
      <c r="N84" s="9">
        <f t="shared" si="29"/>
        <v>0</v>
      </c>
    </row>
    <row r="85" spans="1:16" x14ac:dyDescent="0.25">
      <c r="A85" s="37" t="s">
        <v>157</v>
      </c>
      <c r="B85" s="38">
        <f t="shared" ref="B85:M85" si="30">SUM(B66:B84)</f>
        <v>111321</v>
      </c>
      <c r="C85" s="38">
        <f t="shared" si="30"/>
        <v>111321</v>
      </c>
      <c r="D85" s="38">
        <f t="shared" si="30"/>
        <v>111321</v>
      </c>
      <c r="E85" s="38">
        <f t="shared" si="30"/>
        <v>111321</v>
      </c>
      <c r="F85" s="38">
        <f t="shared" si="30"/>
        <v>111321</v>
      </c>
      <c r="G85" s="38">
        <f t="shared" si="30"/>
        <v>111321</v>
      </c>
      <c r="H85" s="38">
        <f t="shared" si="30"/>
        <v>111321</v>
      </c>
      <c r="I85" s="38">
        <f t="shared" si="30"/>
        <v>111321</v>
      </c>
      <c r="J85" s="38">
        <f t="shared" si="30"/>
        <v>111321</v>
      </c>
      <c r="K85" s="38">
        <f t="shared" si="30"/>
        <v>111321</v>
      </c>
      <c r="L85" s="38">
        <f t="shared" si="30"/>
        <v>111321</v>
      </c>
      <c r="M85" s="38">
        <f t="shared" si="30"/>
        <v>111321</v>
      </c>
      <c r="N85" s="39">
        <f t="shared" si="29"/>
        <v>1335852</v>
      </c>
    </row>
    <row r="86" spans="1:16" s="28" customFormat="1" x14ac:dyDescent="0.25">
      <c r="A86" s="4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7"/>
      <c r="O86" s="48"/>
      <c r="P86" s="48"/>
    </row>
    <row r="87" spans="1:16" s="28" customFormat="1" x14ac:dyDescent="0.25">
      <c r="A87" s="4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7"/>
      <c r="O87" s="48"/>
      <c r="P87" s="48"/>
    </row>
    <row r="89" spans="1:16" ht="15.75" thickBot="1" x14ac:dyDescent="0.3"/>
    <row r="90" spans="1:16" x14ac:dyDescent="0.25">
      <c r="A90" s="41" t="s">
        <v>173</v>
      </c>
      <c r="B90" s="44">
        <v>33703893.899999999</v>
      </c>
    </row>
    <row r="91" spans="1:16" ht="15.75" thickBot="1" x14ac:dyDescent="0.3">
      <c r="A91" s="42" t="s">
        <v>170</v>
      </c>
      <c r="B91" s="43">
        <v>3.8</v>
      </c>
    </row>
  </sheetData>
  <pageMargins left="0.70866141732283472" right="0.70866141732283472" top="0.74803149606299213" bottom="0.74803149606299213" header="0.31496062992125984" footer="0.31496062992125984"/>
  <pageSetup paperSize="9" scale="58" fitToWidth="2" orientation="landscape" r:id="rId1"/>
  <rowBreaks count="1" manualBreakCount="1">
    <brk id="37" max="15" man="1"/>
  </rowBreaks>
  <colBreaks count="1" manualBreakCount="1">
    <brk id="16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rightToLeft="1" view="pageBreakPreview" zoomScale="60" zoomScaleNormal="100" workbookViewId="0">
      <selection activeCell="C32" sqref="C32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</cols>
  <sheetData>
    <row r="1" spans="1:20" ht="21.75" customHeight="1" thickBot="1" x14ac:dyDescent="0.3">
      <c r="A1" s="13" t="s">
        <v>224</v>
      </c>
    </row>
    <row r="2" spans="1:20" x14ac:dyDescent="0.25">
      <c r="A2" s="7"/>
      <c r="B2" s="11" t="s">
        <v>67</v>
      </c>
      <c r="C2" s="11" t="s">
        <v>68</v>
      </c>
      <c r="D2" s="11" t="s">
        <v>69</v>
      </c>
      <c r="E2" s="11" t="s">
        <v>70</v>
      </c>
      <c r="F2" s="11" t="s">
        <v>71</v>
      </c>
      <c r="G2" s="11" t="s">
        <v>72</v>
      </c>
      <c r="H2" s="11" t="s">
        <v>73</v>
      </c>
      <c r="I2" s="11" t="s">
        <v>74</v>
      </c>
      <c r="J2" s="11" t="s">
        <v>75</v>
      </c>
      <c r="K2" s="11" t="s">
        <v>76</v>
      </c>
      <c r="L2" s="11" t="s">
        <v>77</v>
      </c>
      <c r="M2" s="12" t="s">
        <v>78</v>
      </c>
      <c r="N2" s="8" t="s">
        <v>119</v>
      </c>
      <c r="O2" s="8" t="s">
        <v>120</v>
      </c>
      <c r="P2" s="8" t="s">
        <v>238</v>
      </c>
    </row>
    <row r="3" spans="1:20" ht="29.25" x14ac:dyDescent="0.25">
      <c r="A3" s="37" t="s">
        <v>210</v>
      </c>
      <c r="B3" s="23">
        <f>8000*3.77</f>
        <v>30160</v>
      </c>
      <c r="C3" s="23">
        <f t="shared" ref="C3:E3" si="0">8000*3.77</f>
        <v>30160</v>
      </c>
      <c r="D3" s="23">
        <f t="shared" si="0"/>
        <v>30160</v>
      </c>
      <c r="E3" s="23">
        <f t="shared" si="0"/>
        <v>30160</v>
      </c>
      <c r="F3" s="23">
        <f>8000*3.63</f>
        <v>29040</v>
      </c>
      <c r="G3" s="23">
        <f t="shared" ref="G3:M3" si="1">8000*3.63</f>
        <v>29040</v>
      </c>
      <c r="H3" s="23">
        <f t="shared" si="1"/>
        <v>29040</v>
      </c>
      <c r="I3" s="23">
        <f t="shared" si="1"/>
        <v>29040</v>
      </c>
      <c r="J3" s="23">
        <f t="shared" si="1"/>
        <v>29040</v>
      </c>
      <c r="K3" s="23">
        <f t="shared" si="1"/>
        <v>29040</v>
      </c>
      <c r="L3" s="23">
        <f t="shared" si="1"/>
        <v>29040</v>
      </c>
      <c r="M3" s="23">
        <f t="shared" si="1"/>
        <v>29040</v>
      </c>
      <c r="N3" s="9">
        <f t="shared" ref="N3:N4" si="2">SUM(B3:M3)</f>
        <v>352960</v>
      </c>
      <c r="O3" s="9">
        <v>271260</v>
      </c>
      <c r="P3" s="9">
        <f>N3-O3</f>
        <v>81700</v>
      </c>
      <c r="Q3" t="s">
        <v>243</v>
      </c>
    </row>
    <row r="4" spans="1:20" ht="29.25" x14ac:dyDescent="0.25">
      <c r="A4" s="37" t="s">
        <v>212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  <c r="N4" s="9">
        <f t="shared" si="2"/>
        <v>0</v>
      </c>
      <c r="O4" s="9">
        <v>0</v>
      </c>
      <c r="P4" s="9">
        <f t="shared" ref="P4:P6" si="3">N4-O4</f>
        <v>0</v>
      </c>
    </row>
    <row r="5" spans="1:20" x14ac:dyDescent="0.25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  <c r="N5" s="9"/>
      <c r="O5" s="9"/>
      <c r="P5" s="9">
        <f t="shared" si="3"/>
        <v>0</v>
      </c>
    </row>
    <row r="6" spans="1:20" ht="15.75" thickBot="1" x14ac:dyDescent="0.3">
      <c r="A6" s="50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9"/>
      <c r="O6" s="9"/>
      <c r="P6" s="9">
        <f t="shared" si="3"/>
        <v>0</v>
      </c>
    </row>
    <row r="7" spans="1:20" s="1" customFormat="1" ht="15.75" thickBot="1" x14ac:dyDescent="0.3">
      <c r="A7" s="10" t="s">
        <v>0</v>
      </c>
      <c r="B7" s="14">
        <f t="shared" ref="B7:P7" si="4">SUM(B3:B6)</f>
        <v>30160</v>
      </c>
      <c r="C7" s="14">
        <f t="shared" si="4"/>
        <v>30160</v>
      </c>
      <c r="D7" s="14">
        <f t="shared" si="4"/>
        <v>30160</v>
      </c>
      <c r="E7" s="14">
        <f t="shared" si="4"/>
        <v>30160</v>
      </c>
      <c r="F7" s="14">
        <f t="shared" si="4"/>
        <v>29040</v>
      </c>
      <c r="G7" s="14">
        <f t="shared" si="4"/>
        <v>29040</v>
      </c>
      <c r="H7" s="14">
        <f t="shared" si="4"/>
        <v>29040</v>
      </c>
      <c r="I7" s="14">
        <f t="shared" si="4"/>
        <v>29040</v>
      </c>
      <c r="J7" s="14">
        <f t="shared" si="4"/>
        <v>29040</v>
      </c>
      <c r="K7" s="14">
        <f t="shared" si="4"/>
        <v>29040</v>
      </c>
      <c r="L7" s="14">
        <f t="shared" si="4"/>
        <v>29040</v>
      </c>
      <c r="M7" s="14">
        <f t="shared" si="4"/>
        <v>29040</v>
      </c>
      <c r="N7" s="16">
        <f t="shared" si="4"/>
        <v>352960</v>
      </c>
      <c r="O7" s="16">
        <f t="shared" si="4"/>
        <v>271260</v>
      </c>
      <c r="P7" s="16">
        <f t="shared" si="4"/>
        <v>81700</v>
      </c>
    </row>
    <row r="10" spans="1:20" ht="21.75" customHeight="1" thickBot="1" x14ac:dyDescent="0.3">
      <c r="A10" s="13" t="s">
        <v>225</v>
      </c>
    </row>
    <row r="11" spans="1:20" x14ac:dyDescent="0.25">
      <c r="B11" s="11" t="s">
        <v>67</v>
      </c>
      <c r="C11" s="11" t="s">
        <v>68</v>
      </c>
      <c r="D11" s="11" t="s">
        <v>69</v>
      </c>
      <c r="E11" s="11" t="s">
        <v>70</v>
      </c>
      <c r="F11" s="11" t="s">
        <v>71</v>
      </c>
      <c r="G11" s="11" t="s">
        <v>72</v>
      </c>
      <c r="H11" s="11" t="s">
        <v>73</v>
      </c>
      <c r="I11" s="11" t="s">
        <v>74</v>
      </c>
      <c r="J11" s="11" t="s">
        <v>75</v>
      </c>
      <c r="K11" s="11" t="s">
        <v>76</v>
      </c>
      <c r="L11" s="11" t="s">
        <v>77</v>
      </c>
      <c r="M11" s="12" t="s">
        <v>78</v>
      </c>
      <c r="N11" s="8" t="s">
        <v>119</v>
      </c>
      <c r="O11" s="8" t="s">
        <v>120</v>
      </c>
      <c r="P11" s="8" t="s">
        <v>238</v>
      </c>
    </row>
    <row r="12" spans="1:20" ht="29.25" x14ac:dyDescent="0.25">
      <c r="A12" s="37" t="s">
        <v>209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9">
        <f t="shared" ref="N12:N27" si="5">SUM(B12:M12)</f>
        <v>0</v>
      </c>
      <c r="O12" s="9">
        <f>247910-144812</f>
        <v>103098</v>
      </c>
      <c r="P12" s="9">
        <f>N12-O12</f>
        <v>-103098</v>
      </c>
    </row>
    <row r="13" spans="1:20" ht="29.25" x14ac:dyDescent="0.25">
      <c r="A13" s="37" t="s">
        <v>211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9">
        <f t="shared" si="5"/>
        <v>0</v>
      </c>
      <c r="O13" s="9">
        <v>0</v>
      </c>
      <c r="P13" s="9">
        <f t="shared" ref="P13:P27" si="6">N13-O13</f>
        <v>0</v>
      </c>
    </row>
    <row r="14" spans="1:20" x14ac:dyDescent="0.25">
      <c r="A14" s="21" t="s">
        <v>154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9">
        <f>SUM(B14:M14)</f>
        <v>0</v>
      </c>
      <c r="O14" s="9"/>
      <c r="P14" s="9">
        <f t="shared" si="6"/>
        <v>0</v>
      </c>
    </row>
    <row r="15" spans="1:20" x14ac:dyDescent="0.25">
      <c r="A15" s="21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9"/>
      <c r="N15" s="9">
        <f>SUM(B15:M15)</f>
        <v>0</v>
      </c>
      <c r="O15" s="9"/>
      <c r="P15" s="9">
        <f t="shared" si="6"/>
        <v>0</v>
      </c>
      <c r="Q15" s="28"/>
      <c r="R15" s="28"/>
      <c r="S15" s="28"/>
      <c r="T15" s="28"/>
    </row>
    <row r="16" spans="1:20" x14ac:dyDescent="0.25">
      <c r="A16" s="21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/>
      <c r="N16" s="9">
        <f t="shared" si="5"/>
        <v>0</v>
      </c>
      <c r="O16" s="9"/>
      <c r="P16" s="9">
        <f t="shared" si="6"/>
        <v>0</v>
      </c>
    </row>
    <row r="17" spans="1:16" x14ac:dyDescent="0.25">
      <c r="A17" s="21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9"/>
      <c r="N17" s="9">
        <f t="shared" si="5"/>
        <v>0</v>
      </c>
      <c r="O17" s="9"/>
      <c r="P17" s="9">
        <f t="shared" si="6"/>
        <v>0</v>
      </c>
    </row>
    <row r="18" spans="1:16" x14ac:dyDescent="0.25">
      <c r="A18" s="21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9"/>
      <c r="N18" s="9">
        <f t="shared" si="5"/>
        <v>0</v>
      </c>
      <c r="O18" s="9"/>
      <c r="P18" s="9">
        <f t="shared" si="6"/>
        <v>0</v>
      </c>
    </row>
    <row r="19" spans="1:16" x14ac:dyDescent="0.25">
      <c r="A19" s="21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9">
        <f t="shared" si="5"/>
        <v>0</v>
      </c>
      <c r="O19" s="9"/>
      <c r="P19" s="9">
        <f t="shared" si="6"/>
        <v>0</v>
      </c>
    </row>
    <row r="20" spans="1:16" x14ac:dyDescent="0.25">
      <c r="A20" s="21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  <c r="N20" s="9">
        <f t="shared" si="5"/>
        <v>0</v>
      </c>
      <c r="O20" s="9"/>
      <c r="P20" s="9">
        <f t="shared" si="6"/>
        <v>0</v>
      </c>
    </row>
    <row r="21" spans="1:16" x14ac:dyDescent="0.25">
      <c r="A21" s="21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  <c r="N21" s="9">
        <f t="shared" si="5"/>
        <v>0</v>
      </c>
      <c r="O21" s="9"/>
      <c r="P21" s="9">
        <f t="shared" si="6"/>
        <v>0</v>
      </c>
    </row>
    <row r="22" spans="1:16" x14ac:dyDescent="0.25">
      <c r="A22" s="21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9"/>
      <c r="N22" s="9">
        <f t="shared" si="5"/>
        <v>0</v>
      </c>
      <c r="O22" s="9"/>
      <c r="P22" s="9">
        <f t="shared" si="6"/>
        <v>0</v>
      </c>
    </row>
    <row r="23" spans="1:16" x14ac:dyDescent="0.25">
      <c r="A23" s="21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  <c r="N23" s="9">
        <f t="shared" si="5"/>
        <v>0</v>
      </c>
      <c r="O23" s="9"/>
      <c r="P23" s="9">
        <f t="shared" si="6"/>
        <v>0</v>
      </c>
    </row>
    <row r="24" spans="1:16" x14ac:dyDescent="0.25">
      <c r="A24" s="21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9">
        <f t="shared" si="5"/>
        <v>0</v>
      </c>
      <c r="O24" s="9"/>
      <c r="P24" s="9">
        <f t="shared" si="6"/>
        <v>0</v>
      </c>
    </row>
    <row r="25" spans="1:16" x14ac:dyDescent="0.25">
      <c r="A25" s="21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  <c r="N25" s="9">
        <f t="shared" si="5"/>
        <v>0</v>
      </c>
      <c r="O25" s="9"/>
      <c r="P25" s="9">
        <f t="shared" si="6"/>
        <v>0</v>
      </c>
    </row>
    <row r="26" spans="1:16" x14ac:dyDescent="0.25">
      <c r="A26" s="21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9">
        <f t="shared" si="5"/>
        <v>0</v>
      </c>
      <c r="O26" s="9"/>
      <c r="P26" s="9">
        <f t="shared" si="6"/>
        <v>0</v>
      </c>
    </row>
    <row r="27" spans="1:16" ht="15.75" thickBot="1" x14ac:dyDescent="0.3">
      <c r="A27" s="25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N27" s="9">
        <f t="shared" si="5"/>
        <v>0</v>
      </c>
      <c r="O27" s="9"/>
      <c r="P27" s="9">
        <f t="shared" si="6"/>
        <v>0</v>
      </c>
    </row>
    <row r="28" spans="1:16" s="1" customFormat="1" ht="15.75" thickBot="1" x14ac:dyDescent="0.3">
      <c r="A28" s="10" t="s">
        <v>1</v>
      </c>
      <c r="B28" s="14">
        <f t="shared" ref="B28:P28" si="7">SUM(B12:B27)</f>
        <v>0</v>
      </c>
      <c r="C28" s="14">
        <f t="shared" si="7"/>
        <v>0</v>
      </c>
      <c r="D28" s="14">
        <f t="shared" si="7"/>
        <v>0</v>
      </c>
      <c r="E28" s="14">
        <f t="shared" si="7"/>
        <v>0</v>
      </c>
      <c r="F28" s="14">
        <f t="shared" si="7"/>
        <v>0</v>
      </c>
      <c r="G28" s="14">
        <f t="shared" si="7"/>
        <v>0</v>
      </c>
      <c r="H28" s="14">
        <f t="shared" si="7"/>
        <v>0</v>
      </c>
      <c r="I28" s="14">
        <f t="shared" si="7"/>
        <v>0</v>
      </c>
      <c r="J28" s="14">
        <f t="shared" si="7"/>
        <v>0</v>
      </c>
      <c r="K28" s="14">
        <f t="shared" si="7"/>
        <v>0</v>
      </c>
      <c r="L28" s="14">
        <f t="shared" si="7"/>
        <v>0</v>
      </c>
      <c r="M28" s="15">
        <f t="shared" si="7"/>
        <v>0</v>
      </c>
      <c r="N28" s="16">
        <f t="shared" si="7"/>
        <v>0</v>
      </c>
      <c r="O28" s="16">
        <f t="shared" si="7"/>
        <v>103098</v>
      </c>
      <c r="P28" s="16">
        <f t="shared" si="7"/>
        <v>-103098</v>
      </c>
    </row>
    <row r="29" spans="1:16" ht="15.75" thickBot="1" x14ac:dyDescent="0.3"/>
    <row r="30" spans="1:16" s="1" customFormat="1" ht="15.75" thickBot="1" x14ac:dyDescent="0.3">
      <c r="A30" s="29" t="s">
        <v>121</v>
      </c>
      <c r="B30" s="30">
        <f t="shared" ref="B30:N30" si="8">B7-B28</f>
        <v>30160</v>
      </c>
      <c r="C30" s="30">
        <f t="shared" si="8"/>
        <v>30160</v>
      </c>
      <c r="D30" s="30">
        <f t="shared" si="8"/>
        <v>30160</v>
      </c>
      <c r="E30" s="30">
        <f t="shared" si="8"/>
        <v>30160</v>
      </c>
      <c r="F30" s="30">
        <f t="shared" si="8"/>
        <v>29040</v>
      </c>
      <c r="G30" s="30">
        <f t="shared" si="8"/>
        <v>29040</v>
      </c>
      <c r="H30" s="30">
        <f t="shared" si="8"/>
        <v>29040</v>
      </c>
      <c r="I30" s="30">
        <f t="shared" si="8"/>
        <v>29040</v>
      </c>
      <c r="J30" s="30">
        <f t="shared" si="8"/>
        <v>29040</v>
      </c>
      <c r="K30" s="30">
        <f t="shared" si="8"/>
        <v>29040</v>
      </c>
      <c r="L30" s="30">
        <f t="shared" si="8"/>
        <v>29040</v>
      </c>
      <c r="M30" s="31">
        <f t="shared" si="8"/>
        <v>29040</v>
      </c>
      <c r="N30" s="32">
        <f t="shared" si="8"/>
        <v>352960</v>
      </c>
      <c r="O30" s="32">
        <f>O7-O28</f>
        <v>168162</v>
      </c>
      <c r="P30" s="32">
        <f>P7-P28</f>
        <v>184798</v>
      </c>
    </row>
    <row r="32" spans="1:16" x14ac:dyDescent="0.25">
      <c r="N32" s="17"/>
      <c r="O32" s="17"/>
      <c r="P32" s="17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rightToLeft="1" zoomScaleNormal="100" workbookViewId="0">
      <selection activeCell="H22" sqref="H22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1" ht="21.75" customHeight="1" thickBot="1" x14ac:dyDescent="0.3">
      <c r="A1" s="13" t="s">
        <v>124</v>
      </c>
    </row>
    <row r="2" spans="1:21" x14ac:dyDescent="0.25">
      <c r="A2" s="7"/>
      <c r="B2" s="11" t="s">
        <v>67</v>
      </c>
      <c r="C2" s="11" t="s">
        <v>68</v>
      </c>
      <c r="D2" s="11" t="s">
        <v>69</v>
      </c>
      <c r="E2" s="11" t="s">
        <v>70</v>
      </c>
      <c r="F2" s="11" t="s">
        <v>71</v>
      </c>
      <c r="G2" s="11" t="s">
        <v>72</v>
      </c>
      <c r="H2" s="11" t="s">
        <v>73</v>
      </c>
      <c r="I2" s="11" t="s">
        <v>74</v>
      </c>
      <c r="J2" s="11" t="s">
        <v>75</v>
      </c>
      <c r="K2" s="11" t="s">
        <v>76</v>
      </c>
      <c r="L2" s="11" t="s">
        <v>77</v>
      </c>
      <c r="M2" s="12" t="s">
        <v>78</v>
      </c>
      <c r="N2" s="8" t="s">
        <v>119</v>
      </c>
      <c r="O2" s="8" t="s">
        <v>120</v>
      </c>
      <c r="P2" s="8" t="s">
        <v>238</v>
      </c>
    </row>
    <row r="3" spans="1:21" x14ac:dyDescent="0.25">
      <c r="A3" s="21" t="s">
        <v>11</v>
      </c>
      <c r="B3" s="23">
        <v>55250</v>
      </c>
      <c r="C3" s="23">
        <f>55052+7616</f>
        <v>62668</v>
      </c>
      <c r="D3" s="23">
        <v>71077</v>
      </c>
      <c r="E3" s="23">
        <v>63523</v>
      </c>
      <c r="F3" s="23">
        <v>64000</v>
      </c>
      <c r="G3" s="23">
        <f>ROUND(64000+(19180*1.35+660)*0.4+(13700*1.35+472),-2)</f>
        <v>93600</v>
      </c>
      <c r="H3" s="23">
        <f>ROUND(64000+(19180*1.35+660)*0.4+(13700*1.35+472),-2)</f>
        <v>93600</v>
      </c>
      <c r="I3" s="23">
        <f t="shared" ref="I3:J3" si="0">ROUND(64000+(19180*1.35+660)*0.4+(13700*1.35+472),-2)</f>
        <v>93600</v>
      </c>
      <c r="J3" s="23">
        <f t="shared" si="0"/>
        <v>93600</v>
      </c>
      <c r="K3" s="23">
        <f>ROUND(64000+(19180*1.35+660)*1+(13700*1.35+472),-2)</f>
        <v>109500</v>
      </c>
      <c r="L3" s="23">
        <f t="shared" ref="L3:M3" si="1">ROUND(64000+(19180*1.35+660)*1+(13700*1.35+472),-2)</f>
        <v>109500</v>
      </c>
      <c r="M3" s="23">
        <f t="shared" si="1"/>
        <v>109500</v>
      </c>
      <c r="N3" s="9">
        <f>SUM(B3:M3)</f>
        <v>1019418</v>
      </c>
      <c r="O3" s="9">
        <f>658279+53863</f>
        <v>712142</v>
      </c>
      <c r="P3" s="9">
        <f>N3-O3</f>
        <v>307276</v>
      </c>
      <c r="Q3" s="28"/>
      <c r="R3" s="28"/>
      <c r="S3" s="28"/>
      <c r="T3" s="28"/>
    </row>
    <row r="4" spans="1:21" x14ac:dyDescent="0.25">
      <c r="A4" s="21" t="s">
        <v>126</v>
      </c>
      <c r="B4" s="23">
        <f>13000*0.8+4000</f>
        <v>14400</v>
      </c>
      <c r="C4" s="23">
        <f t="shared" ref="C4:M4" si="2">13000*0.8+4000</f>
        <v>14400</v>
      </c>
      <c r="D4" s="23">
        <f t="shared" si="2"/>
        <v>14400</v>
      </c>
      <c r="E4" s="23">
        <f t="shared" si="2"/>
        <v>14400</v>
      </c>
      <c r="F4" s="23">
        <f t="shared" si="2"/>
        <v>14400</v>
      </c>
      <c r="G4" s="23">
        <f t="shared" si="2"/>
        <v>14400</v>
      </c>
      <c r="H4" s="23">
        <f t="shared" si="2"/>
        <v>14400</v>
      </c>
      <c r="I4" s="23">
        <f t="shared" si="2"/>
        <v>14400</v>
      </c>
      <c r="J4" s="23">
        <f t="shared" si="2"/>
        <v>14400</v>
      </c>
      <c r="K4" s="23">
        <f t="shared" si="2"/>
        <v>14400</v>
      </c>
      <c r="L4" s="23">
        <f t="shared" si="2"/>
        <v>14400</v>
      </c>
      <c r="M4" s="23">
        <f t="shared" si="2"/>
        <v>14400</v>
      </c>
      <c r="N4" s="9">
        <f t="shared" ref="N4:N20" si="3">SUM(B4:M4)</f>
        <v>172800</v>
      </c>
      <c r="O4" s="9">
        <v>222780</v>
      </c>
      <c r="P4" s="9">
        <f t="shared" ref="P4:P21" si="4">N4-O4</f>
        <v>-49980</v>
      </c>
      <c r="Q4" t="s">
        <v>249</v>
      </c>
    </row>
    <row r="5" spans="1:21" x14ac:dyDescent="0.25">
      <c r="A5" s="21" t="s">
        <v>127</v>
      </c>
      <c r="B5" s="23">
        <v>6000</v>
      </c>
      <c r="C5" s="23">
        <v>6000</v>
      </c>
      <c r="D5" s="23">
        <v>6000</v>
      </c>
      <c r="E5" s="23">
        <v>6000</v>
      </c>
      <c r="F5" s="23">
        <v>6000</v>
      </c>
      <c r="G5" s="23">
        <v>6000</v>
      </c>
      <c r="H5" s="23">
        <v>6000</v>
      </c>
      <c r="I5" s="23">
        <v>6000</v>
      </c>
      <c r="J5" s="23">
        <v>6000</v>
      </c>
      <c r="K5" s="23">
        <v>6000</v>
      </c>
      <c r="L5" s="23">
        <v>6000</v>
      </c>
      <c r="M5" s="23">
        <v>6000</v>
      </c>
      <c r="N5" s="9">
        <f t="shared" si="3"/>
        <v>72000</v>
      </c>
      <c r="O5" s="9">
        <v>59000</v>
      </c>
      <c r="P5" s="9">
        <f t="shared" si="4"/>
        <v>13000</v>
      </c>
      <c r="Q5" s="28"/>
      <c r="R5" s="28"/>
      <c r="S5" s="28"/>
      <c r="T5" s="28"/>
      <c r="U5" s="28"/>
    </row>
    <row r="6" spans="1:21" x14ac:dyDescent="0.25">
      <c r="A6" s="21" t="s">
        <v>128</v>
      </c>
      <c r="B6" s="23">
        <f>11400+2640</f>
        <v>14040</v>
      </c>
      <c r="C6" s="23">
        <f t="shared" ref="C6:M6" si="5">11400+2640</f>
        <v>14040</v>
      </c>
      <c r="D6" s="23">
        <f t="shared" si="5"/>
        <v>14040</v>
      </c>
      <c r="E6" s="23">
        <f t="shared" si="5"/>
        <v>14040</v>
      </c>
      <c r="F6" s="23">
        <f t="shared" si="5"/>
        <v>14040</v>
      </c>
      <c r="G6" s="23">
        <f t="shared" si="5"/>
        <v>14040</v>
      </c>
      <c r="H6" s="23">
        <f t="shared" si="5"/>
        <v>14040</v>
      </c>
      <c r="I6" s="23">
        <f t="shared" si="5"/>
        <v>14040</v>
      </c>
      <c r="J6" s="23">
        <f t="shared" si="5"/>
        <v>14040</v>
      </c>
      <c r="K6" s="23">
        <f t="shared" si="5"/>
        <v>14040</v>
      </c>
      <c r="L6" s="23">
        <f t="shared" si="5"/>
        <v>14040</v>
      </c>
      <c r="M6" s="23">
        <f t="shared" si="5"/>
        <v>14040</v>
      </c>
      <c r="N6" s="9">
        <f t="shared" si="3"/>
        <v>168480</v>
      </c>
      <c r="O6" s="9">
        <f>36769</f>
        <v>36769</v>
      </c>
      <c r="P6" s="9">
        <f t="shared" si="4"/>
        <v>131711</v>
      </c>
      <c r="Q6" s="28" t="s">
        <v>244</v>
      </c>
      <c r="R6" s="28"/>
      <c r="S6" s="28"/>
      <c r="T6" s="28"/>
      <c r="U6" s="28"/>
    </row>
    <row r="7" spans="1:21" x14ac:dyDescent="0.25">
      <c r="A7" s="21" t="s">
        <v>15</v>
      </c>
      <c r="B7" s="23">
        <v>250</v>
      </c>
      <c r="C7" s="23">
        <v>250</v>
      </c>
      <c r="D7" s="23">
        <v>250</v>
      </c>
      <c r="E7" s="23">
        <v>250</v>
      </c>
      <c r="F7" s="23">
        <v>250</v>
      </c>
      <c r="G7" s="23">
        <v>250</v>
      </c>
      <c r="H7" s="23">
        <v>250</v>
      </c>
      <c r="I7" s="23">
        <v>250</v>
      </c>
      <c r="J7" s="23">
        <v>250</v>
      </c>
      <c r="K7" s="23">
        <v>250</v>
      </c>
      <c r="L7" s="23">
        <v>250</v>
      </c>
      <c r="M7" s="23">
        <v>250</v>
      </c>
      <c r="N7" s="9">
        <f t="shared" si="3"/>
        <v>3000</v>
      </c>
      <c r="O7" s="9">
        <f>64</f>
        <v>64</v>
      </c>
      <c r="P7" s="9">
        <f t="shared" si="4"/>
        <v>2936</v>
      </c>
      <c r="Q7" s="28"/>
      <c r="R7" s="28"/>
      <c r="S7" s="28"/>
      <c r="T7" s="28"/>
      <c r="U7" s="28"/>
    </row>
    <row r="8" spans="1:21" x14ac:dyDescent="0.25">
      <c r="A8" s="21" t="s">
        <v>16</v>
      </c>
      <c r="B8" s="23">
        <v>150</v>
      </c>
      <c r="C8" s="23">
        <v>150</v>
      </c>
      <c r="D8" s="23">
        <v>150</v>
      </c>
      <c r="E8" s="23">
        <v>150</v>
      </c>
      <c r="F8" s="23">
        <v>150</v>
      </c>
      <c r="G8" s="23">
        <v>150</v>
      </c>
      <c r="H8" s="23">
        <v>150</v>
      </c>
      <c r="I8" s="23">
        <v>150</v>
      </c>
      <c r="J8" s="23">
        <v>150</v>
      </c>
      <c r="K8" s="23">
        <v>150</v>
      </c>
      <c r="L8" s="23">
        <v>150</v>
      </c>
      <c r="M8" s="23">
        <v>150</v>
      </c>
      <c r="N8" s="9">
        <f t="shared" si="3"/>
        <v>1800</v>
      </c>
      <c r="O8" s="9">
        <v>0</v>
      </c>
      <c r="P8" s="9">
        <f t="shared" si="4"/>
        <v>1800</v>
      </c>
      <c r="Q8" s="28"/>
      <c r="R8" s="28"/>
      <c r="S8" s="28"/>
      <c r="T8" s="28"/>
      <c r="U8" s="28"/>
    </row>
    <row r="9" spans="1:21" x14ac:dyDescent="0.25">
      <c r="A9" s="21" t="s">
        <v>17</v>
      </c>
      <c r="B9" s="23">
        <f>ROUND((3560.4+24.5+3343.7+23)/12,-2)</f>
        <v>600</v>
      </c>
      <c r="C9" s="23">
        <f t="shared" ref="C9:M9" si="6">ROUND((3560.4+24.5+3343.7+23)/12,-2)</f>
        <v>600</v>
      </c>
      <c r="D9" s="23">
        <f t="shared" si="6"/>
        <v>600</v>
      </c>
      <c r="E9" s="23">
        <f t="shared" si="6"/>
        <v>600</v>
      </c>
      <c r="F9" s="23">
        <f t="shared" si="6"/>
        <v>600</v>
      </c>
      <c r="G9" s="23">
        <f t="shared" si="6"/>
        <v>600</v>
      </c>
      <c r="H9" s="23">
        <f t="shared" si="6"/>
        <v>600</v>
      </c>
      <c r="I9" s="23">
        <f t="shared" si="6"/>
        <v>600</v>
      </c>
      <c r="J9" s="23">
        <f t="shared" si="6"/>
        <v>600</v>
      </c>
      <c r="K9" s="23">
        <f t="shared" si="6"/>
        <v>600</v>
      </c>
      <c r="L9" s="23">
        <f t="shared" si="6"/>
        <v>600</v>
      </c>
      <c r="M9" s="23">
        <f t="shared" si="6"/>
        <v>600</v>
      </c>
      <c r="N9" s="9">
        <f t="shared" si="3"/>
        <v>7200</v>
      </c>
      <c r="O9" s="9">
        <v>5667</v>
      </c>
      <c r="P9" s="9">
        <f t="shared" si="4"/>
        <v>1533</v>
      </c>
      <c r="Q9" s="28"/>
      <c r="R9" s="28"/>
      <c r="S9" s="28"/>
      <c r="T9" s="28"/>
      <c r="U9" s="28"/>
    </row>
    <row r="10" spans="1:21" x14ac:dyDescent="0.25">
      <c r="A10" s="21" t="s">
        <v>129</v>
      </c>
      <c r="B10" s="23">
        <v>1400</v>
      </c>
      <c r="C10" s="23">
        <v>1400</v>
      </c>
      <c r="D10" s="23">
        <v>1400</v>
      </c>
      <c r="E10" s="23">
        <v>1400</v>
      </c>
      <c r="F10" s="23">
        <v>1400</v>
      </c>
      <c r="G10" s="23">
        <v>1400</v>
      </c>
      <c r="H10" s="23">
        <v>1400</v>
      </c>
      <c r="I10" s="23">
        <v>1400</v>
      </c>
      <c r="J10" s="23">
        <v>1400</v>
      </c>
      <c r="K10" s="23">
        <v>1400</v>
      </c>
      <c r="L10" s="23">
        <v>1400</v>
      </c>
      <c r="M10" s="23">
        <v>1400</v>
      </c>
      <c r="N10" s="9">
        <f t="shared" si="3"/>
        <v>16800</v>
      </c>
      <c r="O10" s="9">
        <v>8023</v>
      </c>
      <c r="P10" s="9">
        <f t="shared" si="4"/>
        <v>8777</v>
      </c>
      <c r="Q10" s="28" t="s">
        <v>177</v>
      </c>
      <c r="R10" s="28"/>
      <c r="S10" s="28"/>
      <c r="T10" s="28"/>
      <c r="U10" s="28"/>
    </row>
    <row r="11" spans="1:21" x14ac:dyDescent="0.25">
      <c r="A11" s="21" t="s">
        <v>131</v>
      </c>
      <c r="B11" s="23">
        <f>6000/12</f>
        <v>500</v>
      </c>
      <c r="C11" s="23">
        <f t="shared" ref="C11:M11" si="7">6000/12</f>
        <v>500</v>
      </c>
      <c r="D11" s="23">
        <f t="shared" si="7"/>
        <v>500</v>
      </c>
      <c r="E11" s="23">
        <f t="shared" si="7"/>
        <v>500</v>
      </c>
      <c r="F11" s="23">
        <f t="shared" si="7"/>
        <v>500</v>
      </c>
      <c r="G11" s="23">
        <f t="shared" si="7"/>
        <v>500</v>
      </c>
      <c r="H11" s="23">
        <f t="shared" si="7"/>
        <v>500</v>
      </c>
      <c r="I11" s="23">
        <f t="shared" si="7"/>
        <v>500</v>
      </c>
      <c r="J11" s="23">
        <f t="shared" si="7"/>
        <v>500</v>
      </c>
      <c r="K11" s="23">
        <f t="shared" si="7"/>
        <v>500</v>
      </c>
      <c r="L11" s="23">
        <f t="shared" si="7"/>
        <v>500</v>
      </c>
      <c r="M11" s="23">
        <f t="shared" si="7"/>
        <v>500</v>
      </c>
      <c r="N11" s="9">
        <f t="shared" si="3"/>
        <v>6000</v>
      </c>
      <c r="O11" s="9">
        <f>1915+2352</f>
        <v>4267</v>
      </c>
      <c r="P11" s="9">
        <f t="shared" si="4"/>
        <v>1733</v>
      </c>
      <c r="Q11" s="28" t="s">
        <v>207</v>
      </c>
      <c r="R11" s="28"/>
      <c r="S11" s="28"/>
      <c r="T11" s="28"/>
      <c r="U11" s="28"/>
    </row>
    <row r="12" spans="1:21" x14ac:dyDescent="0.25">
      <c r="A12" s="21" t="s">
        <v>136</v>
      </c>
      <c r="B12" s="23">
        <f>3000/12</f>
        <v>250</v>
      </c>
      <c r="C12" s="23">
        <f t="shared" ref="C12:M12" si="8">3000/12</f>
        <v>250</v>
      </c>
      <c r="D12" s="23">
        <f t="shared" si="8"/>
        <v>250</v>
      </c>
      <c r="E12" s="23">
        <f t="shared" si="8"/>
        <v>250</v>
      </c>
      <c r="F12" s="23">
        <f t="shared" si="8"/>
        <v>250</v>
      </c>
      <c r="G12" s="23">
        <f t="shared" si="8"/>
        <v>250</v>
      </c>
      <c r="H12" s="23">
        <f t="shared" si="8"/>
        <v>250</v>
      </c>
      <c r="I12" s="23">
        <f t="shared" si="8"/>
        <v>250</v>
      </c>
      <c r="J12" s="23">
        <f t="shared" si="8"/>
        <v>250</v>
      </c>
      <c r="K12" s="23">
        <f t="shared" si="8"/>
        <v>250</v>
      </c>
      <c r="L12" s="23">
        <f t="shared" si="8"/>
        <v>250</v>
      </c>
      <c r="M12" s="23">
        <f t="shared" si="8"/>
        <v>250</v>
      </c>
      <c r="N12" s="9">
        <f t="shared" si="3"/>
        <v>3000</v>
      </c>
      <c r="O12" s="9">
        <f>720+1905</f>
        <v>2625</v>
      </c>
      <c r="P12" s="9">
        <f t="shared" si="4"/>
        <v>375</v>
      </c>
      <c r="Q12" s="28"/>
      <c r="R12" s="28"/>
      <c r="S12" s="28"/>
      <c r="T12" s="28"/>
      <c r="U12" s="28"/>
    </row>
    <row r="13" spans="1:21" x14ac:dyDescent="0.25">
      <c r="A13" s="21" t="s">
        <v>130</v>
      </c>
      <c r="B13" s="23">
        <f>6000/12</f>
        <v>500</v>
      </c>
      <c r="C13" s="23">
        <f t="shared" ref="C13:M13" si="9">6000/12</f>
        <v>500</v>
      </c>
      <c r="D13" s="23">
        <f t="shared" si="9"/>
        <v>500</v>
      </c>
      <c r="E13" s="23">
        <f t="shared" si="9"/>
        <v>500</v>
      </c>
      <c r="F13" s="23">
        <f t="shared" si="9"/>
        <v>500</v>
      </c>
      <c r="G13" s="23">
        <f t="shared" si="9"/>
        <v>500</v>
      </c>
      <c r="H13" s="23">
        <f t="shared" si="9"/>
        <v>500</v>
      </c>
      <c r="I13" s="23">
        <f t="shared" si="9"/>
        <v>500</v>
      </c>
      <c r="J13" s="23">
        <f t="shared" si="9"/>
        <v>500</v>
      </c>
      <c r="K13" s="23">
        <f t="shared" si="9"/>
        <v>500</v>
      </c>
      <c r="L13" s="23">
        <f t="shared" si="9"/>
        <v>500</v>
      </c>
      <c r="M13" s="23">
        <f t="shared" si="9"/>
        <v>500</v>
      </c>
      <c r="N13" s="9">
        <f t="shared" si="3"/>
        <v>6000</v>
      </c>
      <c r="O13" s="9">
        <f>4931+1488</f>
        <v>6419</v>
      </c>
      <c r="P13" s="9">
        <f t="shared" si="4"/>
        <v>-419</v>
      </c>
      <c r="Q13" s="28"/>
      <c r="R13" s="28"/>
      <c r="S13" s="28"/>
      <c r="T13" s="28"/>
      <c r="U13" s="28"/>
    </row>
    <row r="14" spans="1:21" x14ac:dyDescent="0.25">
      <c r="A14" s="21" t="s">
        <v>135</v>
      </c>
      <c r="B14" s="23">
        <f>3000/12</f>
        <v>250</v>
      </c>
      <c r="C14" s="23">
        <f t="shared" ref="C14:M14" si="10">3000/12</f>
        <v>250</v>
      </c>
      <c r="D14" s="23">
        <f t="shared" si="10"/>
        <v>250</v>
      </c>
      <c r="E14" s="23">
        <f t="shared" si="10"/>
        <v>250</v>
      </c>
      <c r="F14" s="23">
        <f t="shared" si="10"/>
        <v>250</v>
      </c>
      <c r="G14" s="23">
        <f t="shared" si="10"/>
        <v>250</v>
      </c>
      <c r="H14" s="23">
        <f t="shared" si="10"/>
        <v>250</v>
      </c>
      <c r="I14" s="23">
        <f t="shared" si="10"/>
        <v>250</v>
      </c>
      <c r="J14" s="23">
        <f t="shared" si="10"/>
        <v>250</v>
      </c>
      <c r="K14" s="23">
        <f t="shared" si="10"/>
        <v>250</v>
      </c>
      <c r="L14" s="23">
        <f t="shared" si="10"/>
        <v>250</v>
      </c>
      <c r="M14" s="23">
        <f t="shared" si="10"/>
        <v>250</v>
      </c>
      <c r="N14" s="9">
        <f t="shared" si="3"/>
        <v>3000</v>
      </c>
      <c r="O14" s="9">
        <v>2821</v>
      </c>
      <c r="P14" s="9">
        <f t="shared" si="4"/>
        <v>179</v>
      </c>
      <c r="Q14" s="28"/>
      <c r="R14" s="28"/>
      <c r="S14" s="28"/>
      <c r="T14" s="28"/>
      <c r="U14" s="28"/>
    </row>
    <row r="15" spans="1:21" x14ac:dyDescent="0.25">
      <c r="A15" s="21" t="s">
        <v>134</v>
      </c>
      <c r="B15" s="23">
        <f>18000/12</f>
        <v>1500</v>
      </c>
      <c r="C15" s="23">
        <f t="shared" ref="C15:M15" si="11">18000/12</f>
        <v>1500</v>
      </c>
      <c r="D15" s="23">
        <f t="shared" si="11"/>
        <v>1500</v>
      </c>
      <c r="E15" s="23">
        <f t="shared" si="11"/>
        <v>1500</v>
      </c>
      <c r="F15" s="23">
        <f t="shared" si="11"/>
        <v>1500</v>
      </c>
      <c r="G15" s="23">
        <f t="shared" si="11"/>
        <v>1500</v>
      </c>
      <c r="H15" s="23">
        <f t="shared" si="11"/>
        <v>1500</v>
      </c>
      <c r="I15" s="23">
        <f t="shared" si="11"/>
        <v>1500</v>
      </c>
      <c r="J15" s="23">
        <f t="shared" si="11"/>
        <v>1500</v>
      </c>
      <c r="K15" s="23">
        <f t="shared" si="11"/>
        <v>1500</v>
      </c>
      <c r="L15" s="23">
        <f t="shared" si="11"/>
        <v>1500</v>
      </c>
      <c r="M15" s="23">
        <f t="shared" si="11"/>
        <v>1500</v>
      </c>
      <c r="N15" s="9">
        <f t="shared" si="3"/>
        <v>18000</v>
      </c>
      <c r="O15" s="9">
        <f>12715+2302+5477</f>
        <v>20494</v>
      </c>
      <c r="P15" s="9">
        <f t="shared" si="4"/>
        <v>-2494</v>
      </c>
      <c r="Q15" s="28"/>
      <c r="R15" s="28"/>
      <c r="S15" s="28"/>
      <c r="T15" s="28"/>
      <c r="U15" s="28"/>
    </row>
    <row r="16" spans="1:21" x14ac:dyDescent="0.25">
      <c r="A16" s="21" t="s">
        <v>23</v>
      </c>
      <c r="B16" s="23">
        <f>ROUND(6000/12,-2)</f>
        <v>500</v>
      </c>
      <c r="C16" s="23">
        <f t="shared" ref="C16:M16" si="12">ROUND(6000/12,-2)</f>
        <v>500</v>
      </c>
      <c r="D16" s="23">
        <f t="shared" si="12"/>
        <v>500</v>
      </c>
      <c r="E16" s="23">
        <f t="shared" si="12"/>
        <v>500</v>
      </c>
      <c r="F16" s="23">
        <f t="shared" si="12"/>
        <v>500</v>
      </c>
      <c r="G16" s="23">
        <f t="shared" si="12"/>
        <v>500</v>
      </c>
      <c r="H16" s="23">
        <f t="shared" si="12"/>
        <v>500</v>
      </c>
      <c r="I16" s="23">
        <f t="shared" si="12"/>
        <v>500</v>
      </c>
      <c r="J16" s="23">
        <f t="shared" si="12"/>
        <v>500</v>
      </c>
      <c r="K16" s="23">
        <f t="shared" si="12"/>
        <v>500</v>
      </c>
      <c r="L16" s="23">
        <f t="shared" si="12"/>
        <v>500</v>
      </c>
      <c r="M16" s="23">
        <f t="shared" si="12"/>
        <v>500</v>
      </c>
      <c r="N16" s="9">
        <f t="shared" si="3"/>
        <v>6000</v>
      </c>
      <c r="O16" s="9">
        <v>4465</v>
      </c>
      <c r="P16" s="9">
        <f t="shared" si="4"/>
        <v>1535</v>
      </c>
      <c r="Q16" s="28"/>
      <c r="R16" s="28"/>
      <c r="S16" s="28"/>
      <c r="T16" s="28"/>
      <c r="U16" s="28"/>
    </row>
    <row r="17" spans="1:21" x14ac:dyDescent="0.25">
      <c r="A17" s="21" t="s">
        <v>125</v>
      </c>
      <c r="B17" s="23">
        <f>2000*1</f>
        <v>2000</v>
      </c>
      <c r="C17" s="23">
        <f t="shared" ref="C17:F17" si="13">2000*1</f>
        <v>2000</v>
      </c>
      <c r="D17" s="23">
        <f t="shared" si="13"/>
        <v>2000</v>
      </c>
      <c r="E17" s="23">
        <f t="shared" si="13"/>
        <v>2000</v>
      </c>
      <c r="F17" s="23">
        <f t="shared" si="13"/>
        <v>2000</v>
      </c>
      <c r="G17" s="23">
        <f>2000*1+2500*2</f>
        <v>7000</v>
      </c>
      <c r="H17" s="23">
        <f t="shared" ref="H17:M17" si="14">2000*1+2500*2</f>
        <v>7000</v>
      </c>
      <c r="I17" s="23">
        <f t="shared" si="14"/>
        <v>7000</v>
      </c>
      <c r="J17" s="23">
        <f t="shared" si="14"/>
        <v>7000</v>
      </c>
      <c r="K17" s="23">
        <f t="shared" si="14"/>
        <v>7000</v>
      </c>
      <c r="L17" s="23">
        <f t="shared" si="14"/>
        <v>7000</v>
      </c>
      <c r="M17" s="23">
        <f t="shared" si="14"/>
        <v>7000</v>
      </c>
      <c r="N17" s="9">
        <f>SUM(B17:M17)</f>
        <v>59000</v>
      </c>
      <c r="O17" s="9">
        <v>24793</v>
      </c>
      <c r="P17" s="9">
        <f t="shared" si="4"/>
        <v>34207</v>
      </c>
      <c r="Q17" s="28" t="s">
        <v>178</v>
      </c>
      <c r="R17" s="28"/>
      <c r="S17" s="28"/>
      <c r="T17" s="28"/>
      <c r="U17" s="28"/>
    </row>
    <row r="18" spans="1:21" x14ac:dyDescent="0.25">
      <c r="A18" s="21" t="s">
        <v>133</v>
      </c>
      <c r="B18" s="23">
        <v>300</v>
      </c>
      <c r="C18" s="23">
        <v>300</v>
      </c>
      <c r="D18" s="23">
        <v>300</v>
      </c>
      <c r="E18" s="23">
        <f>10000+300</f>
        <v>10300</v>
      </c>
      <c r="F18" s="23">
        <v>300</v>
      </c>
      <c r="G18" s="23">
        <v>300</v>
      </c>
      <c r="H18" s="23">
        <v>300</v>
      </c>
      <c r="I18" s="23">
        <v>300</v>
      </c>
      <c r="J18" s="23">
        <v>10000</v>
      </c>
      <c r="K18" s="23">
        <v>300</v>
      </c>
      <c r="L18" s="23">
        <v>300</v>
      </c>
      <c r="M18" s="23">
        <v>300</v>
      </c>
      <c r="N18" s="9">
        <f t="shared" si="3"/>
        <v>23300</v>
      </c>
      <c r="O18" s="9">
        <f>7292+3150</f>
        <v>10442</v>
      </c>
      <c r="P18" s="9">
        <f t="shared" si="4"/>
        <v>12858</v>
      </c>
      <c r="Q18" s="28"/>
      <c r="R18" s="28"/>
      <c r="S18" s="28"/>
      <c r="T18" s="28"/>
      <c r="U18" s="28"/>
    </row>
    <row r="19" spans="1:21" x14ac:dyDescent="0.25">
      <c r="A19" s="21" t="s">
        <v>132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9">
        <f t="shared" si="3"/>
        <v>0</v>
      </c>
      <c r="O19" s="9">
        <v>0</v>
      </c>
      <c r="P19" s="9">
        <f t="shared" si="4"/>
        <v>0</v>
      </c>
      <c r="Q19" s="28"/>
      <c r="R19" s="28"/>
      <c r="S19" s="28"/>
      <c r="T19" s="28"/>
      <c r="U19" s="28"/>
    </row>
    <row r="20" spans="1:21" x14ac:dyDescent="0.25">
      <c r="A20" s="21" t="s">
        <v>226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9">
        <f t="shared" si="3"/>
        <v>0</v>
      </c>
      <c r="O20" s="9">
        <v>1000</v>
      </c>
      <c r="P20" s="9">
        <f t="shared" si="4"/>
        <v>-1000</v>
      </c>
      <c r="Q20" s="28"/>
      <c r="R20" s="28"/>
      <c r="S20" s="28"/>
      <c r="T20" s="28"/>
      <c r="U20" s="28"/>
    </row>
    <row r="21" spans="1:21" ht="15.75" thickBot="1" x14ac:dyDescent="0.3">
      <c r="A21" s="21" t="s">
        <v>215</v>
      </c>
      <c r="B21" s="23">
        <f t="shared" ref="B21:D21" si="15">-B6*0.7</f>
        <v>-9828</v>
      </c>
      <c r="C21" s="23">
        <f t="shared" si="15"/>
        <v>-9828</v>
      </c>
      <c r="D21" s="23">
        <f t="shared" si="15"/>
        <v>-9828</v>
      </c>
      <c r="E21" s="23">
        <f>-E6*0.7</f>
        <v>-9828</v>
      </c>
      <c r="F21" s="23">
        <f>-ROUND(((19180*1.35+660)*0.4*0+(13700*1.35+472)*0.5*0+9000*0.3+(F6+F7+F8+F9+F10+0)*0.7+(F11+F12+F13+F14+F15+F16+F18)*0.6+(2500+2500*0.5)*0),-2)</f>
        <v>-16500</v>
      </c>
      <c r="G21" s="23">
        <f>-ROUND(((19180*1.35+660)*0.4*1+(13700*1.35+472)*0.5+9000*0.3+(G6+G7+G8+G9+G10+0)*0.7+(G11+G12+G13+G14+G15+G16+G18)*0.6+2500+2500*0.5),-2)</f>
        <v>-40300</v>
      </c>
      <c r="H21" s="23">
        <f>-ROUND(((19180*1.35+660)*0.4*1+(13700*1.35+472)*0.5+9000*0.3+(H6+H7+H8+H9+H10+0)*0.7+(H11+H12+H13+H14+H15+H16+H18)*0.6+2500+2500*0.5),-2)</f>
        <v>-40300</v>
      </c>
      <c r="I21" s="23">
        <f t="shared" ref="I21:M21" si="16">-ROUND(((19180*1.35+660)*0.4*1+(13700*1.35+472)*0.5+9000*0.3+(I6+I7+I8+I9+I10+0)*0.7+(I11+I12+I13+I14+I15+I16+I18)*0.6+2500+2500*0.5),-2)</f>
        <v>-40300</v>
      </c>
      <c r="J21" s="23">
        <f t="shared" si="16"/>
        <v>-46200</v>
      </c>
      <c r="K21" s="23">
        <f t="shared" si="16"/>
        <v>-40300</v>
      </c>
      <c r="L21" s="23">
        <f t="shared" si="16"/>
        <v>-40300</v>
      </c>
      <c r="M21" s="23">
        <f t="shared" si="16"/>
        <v>-40300</v>
      </c>
      <c r="N21" s="9">
        <f>SUM(B21:M21)</f>
        <v>-343812</v>
      </c>
      <c r="O21" s="9">
        <v>0</v>
      </c>
      <c r="P21" s="9">
        <f t="shared" si="4"/>
        <v>-343812</v>
      </c>
      <c r="Q21" s="28" t="s">
        <v>250</v>
      </c>
      <c r="R21" s="28"/>
      <c r="S21" s="28"/>
      <c r="T21" s="28"/>
      <c r="U21" s="28"/>
    </row>
    <row r="22" spans="1:21" s="1" customFormat="1" ht="15.75" thickBot="1" x14ac:dyDescent="0.3">
      <c r="A22" s="10" t="s">
        <v>1</v>
      </c>
      <c r="B22" s="14">
        <f t="shared" ref="B22:O22" si="17">SUM(B3:B21)</f>
        <v>88062</v>
      </c>
      <c r="C22" s="14">
        <f t="shared" si="17"/>
        <v>95480</v>
      </c>
      <c r="D22" s="14">
        <f t="shared" si="17"/>
        <v>103889</v>
      </c>
      <c r="E22" s="14">
        <f t="shared" si="17"/>
        <v>106335</v>
      </c>
      <c r="F22" s="14">
        <f t="shared" si="17"/>
        <v>90140</v>
      </c>
      <c r="G22" s="14">
        <f t="shared" si="17"/>
        <v>100940</v>
      </c>
      <c r="H22" s="14">
        <f t="shared" si="17"/>
        <v>100940</v>
      </c>
      <c r="I22" s="14">
        <f>SUM(I3:I21)</f>
        <v>100940</v>
      </c>
      <c r="J22" s="14">
        <f t="shared" si="17"/>
        <v>104740</v>
      </c>
      <c r="K22" s="14">
        <f t="shared" si="17"/>
        <v>116840</v>
      </c>
      <c r="L22" s="14">
        <f t="shared" si="17"/>
        <v>116840</v>
      </c>
      <c r="M22" s="14">
        <f t="shared" si="17"/>
        <v>116840</v>
      </c>
      <c r="N22" s="14">
        <f>SUM(N3:N21)</f>
        <v>1241986</v>
      </c>
      <c r="O22" s="14">
        <f t="shared" si="17"/>
        <v>1121771</v>
      </c>
      <c r="P22" s="14">
        <f>SUM(P3:P21)</f>
        <v>120215</v>
      </c>
    </row>
    <row r="27" spans="1:21" x14ac:dyDescent="0.25">
      <c r="N27" s="17"/>
      <c r="O27" s="17"/>
      <c r="P27" s="17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12</vt:i4>
      </vt:variant>
      <vt:variant>
        <vt:lpstr>טווחים בעלי שם</vt:lpstr>
      </vt:variant>
      <vt:variant>
        <vt:i4>8</vt:i4>
      </vt:variant>
    </vt:vector>
  </HeadingPairs>
  <TitlesOfParts>
    <vt:vector size="20" baseType="lpstr">
      <vt:lpstr>דוח רווח והפסד - תקציב 2017</vt:lpstr>
      <vt:lpstr>דוח מסכם - תקציב 2017</vt:lpstr>
      <vt:lpstr>קאנטרי קלאב</vt:lpstr>
      <vt:lpstr>בריכה עפולה עילית</vt:lpstr>
      <vt:lpstr>מזנון בריכה קאנטרי קלאב</vt:lpstr>
      <vt:lpstr>מזנון בריכה עפולה עילית </vt:lpstr>
      <vt:lpstr>הכנסות מדמי שכירות</vt:lpstr>
      <vt:lpstr>חממה טכנולוגית- מרכז חדשנות</vt:lpstr>
      <vt:lpstr>הנהלה וכלליות</vt:lpstr>
      <vt:lpstr>העסקת עובדי עירייה</vt:lpstr>
      <vt:lpstr>שכר עבודה</vt:lpstr>
      <vt:lpstr>פרויקטים - תב"רים</vt:lpstr>
      <vt:lpstr>'בריכה עפולה עילית'!WPrint_Area_W</vt:lpstr>
      <vt:lpstr>'הכנסות מדמי שכירות'!WPrint_Area_W</vt:lpstr>
      <vt:lpstr>'הנהלה וכלליות'!WPrint_Area_W</vt:lpstr>
      <vt:lpstr>'העסקת עובדי עירייה'!WPrint_Area_W</vt:lpstr>
      <vt:lpstr>'חממה טכנולוגית- מרכז חדשנות'!WPrint_Area_W</vt:lpstr>
      <vt:lpstr>'מזנון בריכה עפולה עילית '!WPrint_Area_W</vt:lpstr>
      <vt:lpstr>'מזנון בריכה קאנטרי קלאב'!WPrint_Area_W</vt:lpstr>
      <vt:lpstr>'קאנטרי קלאב'!WPrint_Area_W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תומר חדד</dc:creator>
  <cp:lastModifiedBy>עליזה מלכה</cp:lastModifiedBy>
  <cp:lastPrinted>2017-06-26T12:52:52Z</cp:lastPrinted>
  <dcterms:created xsi:type="dcterms:W3CDTF">2017-01-03T10:50:05Z</dcterms:created>
  <dcterms:modified xsi:type="dcterms:W3CDTF">2019-09-10T12:15:24Z</dcterms:modified>
</cp:coreProperties>
</file>