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1760" tabRatio="681" activeTab="1"/>
  </bookViews>
  <sheets>
    <sheet name="דוח רווח והפסד - תקציב 2018" sheetId="12" r:id="rId1"/>
    <sheet name="דוח מסכם - תקציב 2018" sheetId="1" r:id="rId2"/>
    <sheet name="קאנטרי קלאב" sheetId="2" r:id="rId3"/>
    <sheet name="בריכה עפולה עילית" sheetId="5" r:id="rId4"/>
    <sheet name="מזנון בריכה קאנטרי קלאב" sheetId="8" r:id="rId5"/>
    <sheet name="מזנון בריכה עפולה עילית " sheetId="7" r:id="rId6"/>
    <sheet name="הכנסות מדמי שכירות" sheetId="9" r:id="rId7"/>
    <sheet name="חממה טכנולוגית- מרכז חדשנות" sheetId="11" r:id="rId8"/>
    <sheet name="ברוש - מרכז יזמות וחדשנות" sheetId="13" r:id="rId9"/>
    <sheet name="הנהלה וכלליות" sheetId="6" r:id="rId10"/>
    <sheet name="מנהלת הסכם הגג" sheetId="14" r:id="rId11"/>
    <sheet name="מתחם תחנת הרכבת" sheetId="15" r:id="rId12"/>
    <sheet name="העסקת עובדי עירייה" sheetId="10" r:id="rId13"/>
    <sheet name="פרויקטים - תב&quot;רים" sheetId="4" r:id="rId14"/>
    <sheet name="שכר עבודה" sheetId="3" r:id="rId15"/>
  </sheets>
  <definedNames>
    <definedName name="_xlnm.Print_Area" localSheetId="8">'ברוש - מרכז יזמות וחדשנות'!$A$1:$P$30</definedName>
    <definedName name="_xlnm.Print_Area" localSheetId="3">'בריכה עפולה עילית'!$A$1:$P$32</definedName>
    <definedName name="_xlnm.Print_Area" localSheetId="1">'דוח מסכם - תקציב 2018'!$A$1:$J$27</definedName>
    <definedName name="_xlnm.Print_Area" localSheetId="6">'הכנסות מדמי שכירות'!$A$1:$P$84</definedName>
    <definedName name="_xlnm.Print_Area" localSheetId="9">'הנהלה וכלליות'!$A$1:$P$23</definedName>
    <definedName name="_xlnm.Print_Area" localSheetId="12">'העסקת עובדי עירייה'!$A$1:$P$25</definedName>
    <definedName name="_xlnm.Print_Area" localSheetId="7">'חממה טכנולוגית- מרכז חדשנות'!$A$1:$P$31</definedName>
    <definedName name="_xlnm.Print_Area" localSheetId="5">'מזנון בריכה עפולה עילית '!$A$1:$P$15</definedName>
    <definedName name="_xlnm.Print_Area" localSheetId="4">'מזנון בריכה קאנטרי קלאב'!$A$1:$P$14</definedName>
    <definedName name="_xlnm.Print_Area" localSheetId="10">'מנהלת הסכם הגג'!$A$1:$P$32</definedName>
    <definedName name="_xlnm.Print_Area" localSheetId="11">'מתחם תחנת הרכבת'!$A$1:$P$38</definedName>
    <definedName name="_xlnm.Print_Area" localSheetId="2">'קאנטרי קלאב'!$A$1:$P$38</definedName>
  </definedNames>
  <calcPr calcId="152511"/>
</workbook>
</file>

<file path=xl/calcChain.xml><?xml version="1.0" encoding="utf-8"?>
<calcChain xmlns="http://schemas.openxmlformats.org/spreadsheetml/2006/main">
  <c r="O18" i="11" l="1"/>
  <c r="O15" i="11"/>
  <c r="O14" i="5"/>
  <c r="O18" i="10"/>
  <c r="O7" i="10"/>
  <c r="O14" i="10"/>
  <c r="O22" i="6"/>
  <c r="O18" i="6" l="1"/>
  <c r="O15" i="6"/>
  <c r="O12" i="6"/>
  <c r="O11" i="6"/>
  <c r="C17" i="6"/>
  <c r="D17" i="6"/>
  <c r="E17" i="6"/>
  <c r="F17" i="6"/>
  <c r="G17" i="6"/>
  <c r="H17" i="6"/>
  <c r="I17" i="6"/>
  <c r="J17" i="6"/>
  <c r="K17" i="6"/>
  <c r="L17" i="6"/>
  <c r="M17" i="6"/>
  <c r="B17" i="6"/>
  <c r="O8" i="6"/>
  <c r="B4" i="6"/>
  <c r="C4" i="6"/>
  <c r="D4" i="6"/>
  <c r="E4" i="6"/>
  <c r="F4" i="6"/>
  <c r="G4" i="6"/>
  <c r="H4" i="6"/>
  <c r="I4" i="6"/>
  <c r="J4" i="6"/>
  <c r="K4" i="6"/>
  <c r="L4" i="6"/>
  <c r="M4" i="6"/>
  <c r="B12" i="14"/>
  <c r="C12" i="14"/>
  <c r="D12" i="14"/>
  <c r="E12" i="14"/>
  <c r="F12" i="14"/>
  <c r="G12" i="14"/>
  <c r="H12" i="14"/>
  <c r="I12" i="14"/>
  <c r="J12" i="14"/>
  <c r="K12" i="14"/>
  <c r="L12" i="14"/>
  <c r="M12" i="14"/>
  <c r="O15" i="9"/>
  <c r="O25" i="2" l="1"/>
  <c r="O18" i="2"/>
  <c r="O24" i="2"/>
  <c r="O26" i="2"/>
  <c r="O29" i="2"/>
  <c r="O32" i="2"/>
  <c r="O22" i="2"/>
  <c r="O21" i="2"/>
  <c r="O20" i="2"/>
  <c r="O8" i="2"/>
  <c r="D11" i="4" l="1"/>
  <c r="B11" i="4"/>
  <c r="B21" i="1"/>
  <c r="C9" i="4"/>
  <c r="D9" i="4" s="1"/>
  <c r="C8" i="4"/>
  <c r="C5" i="4"/>
  <c r="D5" i="4"/>
  <c r="C6" i="4"/>
  <c r="D6" i="4"/>
  <c r="C7" i="4"/>
  <c r="D7" i="4"/>
  <c r="D4" i="4"/>
  <c r="C4" i="4"/>
  <c r="C11" i="4" l="1"/>
  <c r="D8" i="4"/>
  <c r="N14" i="13"/>
  <c r="P14" i="13" s="1"/>
  <c r="B15" i="9" l="1"/>
  <c r="C52" i="9"/>
  <c r="D52" i="9"/>
  <c r="E52" i="9"/>
  <c r="F52" i="9"/>
  <c r="G52" i="9"/>
  <c r="H52" i="9"/>
  <c r="I52" i="9"/>
  <c r="J52" i="9"/>
  <c r="K52" i="9"/>
  <c r="L52" i="9"/>
  <c r="M52" i="9"/>
  <c r="B52" i="9"/>
  <c r="C71" i="9"/>
  <c r="D71" i="9"/>
  <c r="E71" i="9"/>
  <c r="F71" i="9"/>
  <c r="G71" i="9"/>
  <c r="H71" i="9"/>
  <c r="I71" i="9"/>
  <c r="J71" i="9"/>
  <c r="K71" i="9"/>
  <c r="L71" i="9"/>
  <c r="M71" i="9"/>
  <c r="B71" i="9"/>
  <c r="N20" i="9" l="1"/>
  <c r="P20" i="9" s="1"/>
  <c r="N21" i="9"/>
  <c r="P21" i="9"/>
  <c r="N22" i="9"/>
  <c r="P22" i="9" s="1"/>
  <c r="N23" i="9"/>
  <c r="P23" i="9"/>
  <c r="N24" i="9"/>
  <c r="P24" i="9" s="1"/>
  <c r="N25" i="9"/>
  <c r="P25" i="9"/>
  <c r="N26" i="9"/>
  <c r="P26" i="9" s="1"/>
  <c r="C50" i="9"/>
  <c r="D50" i="9"/>
  <c r="E50" i="9"/>
  <c r="F50" i="9"/>
  <c r="G50" i="9"/>
  <c r="H50" i="9"/>
  <c r="I50" i="9"/>
  <c r="J50" i="9"/>
  <c r="K50" i="9"/>
  <c r="L50" i="9"/>
  <c r="M50" i="9"/>
  <c r="B50" i="9"/>
  <c r="H21" i="1" l="1"/>
  <c r="I21" i="1"/>
  <c r="G21" i="1"/>
  <c r="D21" i="1"/>
  <c r="J21" i="1" s="1"/>
  <c r="B18" i="1"/>
  <c r="C18" i="1"/>
  <c r="N50" i="9"/>
  <c r="D18" i="1" l="1"/>
  <c r="C34" i="2"/>
  <c r="D34" i="2"/>
  <c r="E34" i="2"/>
  <c r="F34" i="2"/>
  <c r="G34" i="2"/>
  <c r="H34" i="2"/>
  <c r="I34" i="2"/>
  <c r="J34" i="2"/>
  <c r="K34" i="2"/>
  <c r="L34" i="2"/>
  <c r="M34" i="2"/>
  <c r="B34" i="2"/>
  <c r="M16" i="11"/>
  <c r="B3" i="13"/>
  <c r="C3" i="13"/>
  <c r="D3" i="13"/>
  <c r="E3" i="13"/>
  <c r="G3" i="13"/>
  <c r="H3" i="13"/>
  <c r="I3" i="13"/>
  <c r="J3" i="13"/>
  <c r="K3" i="13"/>
  <c r="L3" i="13"/>
  <c r="M3" i="13"/>
  <c r="F3" i="13"/>
  <c r="C48" i="9" l="1"/>
  <c r="D48" i="9"/>
  <c r="E48" i="9"/>
  <c r="F48" i="9"/>
  <c r="G48" i="9"/>
  <c r="H48" i="9"/>
  <c r="I48" i="9"/>
  <c r="J48" i="9"/>
  <c r="K48" i="9"/>
  <c r="L48" i="9"/>
  <c r="M48" i="9"/>
  <c r="B48" i="9"/>
  <c r="B53" i="9"/>
  <c r="J3" i="15" l="1"/>
  <c r="K3" i="15"/>
  <c r="L3" i="15"/>
  <c r="M3" i="15"/>
  <c r="J4" i="15"/>
  <c r="K4" i="15"/>
  <c r="L4" i="15"/>
  <c r="M4" i="15"/>
  <c r="J5" i="15"/>
  <c r="K5" i="15"/>
  <c r="L5" i="15"/>
  <c r="M5" i="15"/>
  <c r="J6" i="15"/>
  <c r="K6" i="15"/>
  <c r="L6" i="15"/>
  <c r="M6" i="15"/>
  <c r="J7" i="15"/>
  <c r="K7" i="15"/>
  <c r="L7" i="15"/>
  <c r="M7" i="15"/>
  <c r="J8" i="15"/>
  <c r="K8" i="15"/>
  <c r="L8" i="15"/>
  <c r="M8" i="15"/>
  <c r="J9" i="15"/>
  <c r="K9" i="15"/>
  <c r="L9" i="15"/>
  <c r="M9" i="15"/>
  <c r="I9" i="15"/>
  <c r="I8" i="15"/>
  <c r="I7" i="15"/>
  <c r="I6" i="15"/>
  <c r="I5" i="15"/>
  <c r="I4" i="15"/>
  <c r="I3" i="15"/>
  <c r="C66" i="9" l="1"/>
  <c r="D66" i="9"/>
  <c r="E66" i="9"/>
  <c r="F66" i="9"/>
  <c r="G66" i="9"/>
  <c r="H66" i="9"/>
  <c r="I66" i="9"/>
  <c r="J66" i="9"/>
  <c r="K66" i="9"/>
  <c r="L66" i="9"/>
  <c r="M66" i="9"/>
  <c r="B66" i="9"/>
  <c r="N66" i="9" l="1"/>
  <c r="C68" i="9"/>
  <c r="D68" i="9"/>
  <c r="E68" i="9"/>
  <c r="F68" i="9"/>
  <c r="G68" i="9"/>
  <c r="H68" i="9"/>
  <c r="I68" i="9"/>
  <c r="J68" i="9"/>
  <c r="K68" i="9"/>
  <c r="L68" i="9"/>
  <c r="M68" i="9"/>
  <c r="B68" i="9"/>
  <c r="C72" i="9" l="1"/>
  <c r="D72" i="9"/>
  <c r="E72" i="9"/>
  <c r="F72" i="9"/>
  <c r="G72" i="9"/>
  <c r="H72" i="9"/>
  <c r="I72" i="9"/>
  <c r="J72" i="9"/>
  <c r="K72" i="9"/>
  <c r="L72" i="9"/>
  <c r="M72" i="9"/>
  <c r="C11" i="14"/>
  <c r="D11" i="14"/>
  <c r="E11" i="14"/>
  <c r="F11" i="14"/>
  <c r="G11" i="14"/>
  <c r="H11" i="14"/>
  <c r="I11" i="14"/>
  <c r="J11" i="14"/>
  <c r="K11" i="14"/>
  <c r="L11" i="14"/>
  <c r="M11" i="14"/>
  <c r="B11" i="14"/>
  <c r="B3" i="10" l="1"/>
  <c r="C3" i="10"/>
  <c r="D3" i="10"/>
  <c r="E3" i="10"/>
  <c r="F16" i="1"/>
  <c r="E16" i="1"/>
  <c r="N8" i="15"/>
  <c r="P8" i="15" s="1"/>
  <c r="L10" i="15"/>
  <c r="N4" i="15"/>
  <c r="P4" i="15" s="1"/>
  <c r="D36" i="15"/>
  <c r="N35" i="15"/>
  <c r="P35" i="15" s="1"/>
  <c r="N34" i="15"/>
  <c r="P34" i="15" s="1"/>
  <c r="N32" i="15"/>
  <c r="P32" i="15" s="1"/>
  <c r="N31" i="15"/>
  <c r="P31" i="15" s="1"/>
  <c r="N30" i="15"/>
  <c r="P30" i="15" s="1"/>
  <c r="N29" i="15"/>
  <c r="P29" i="15" s="1"/>
  <c r="N28" i="15"/>
  <c r="P28" i="15" s="1"/>
  <c r="N27" i="15"/>
  <c r="P27" i="15" s="1"/>
  <c r="N26" i="15"/>
  <c r="P26" i="15" s="1"/>
  <c r="P25" i="15"/>
  <c r="N25" i="15"/>
  <c r="N24" i="15"/>
  <c r="P24" i="15" s="1"/>
  <c r="N23" i="15"/>
  <c r="P23" i="15" s="1"/>
  <c r="N21" i="15"/>
  <c r="V21" i="15" s="1"/>
  <c r="N20" i="15"/>
  <c r="V20" i="15" s="1"/>
  <c r="N19" i="15"/>
  <c r="V19" i="15" s="1"/>
  <c r="N18" i="15"/>
  <c r="V18" i="15" s="1"/>
  <c r="N17" i="15"/>
  <c r="V17" i="15" s="1"/>
  <c r="L36" i="15"/>
  <c r="K36" i="15"/>
  <c r="J36" i="15"/>
  <c r="H36" i="15"/>
  <c r="G36" i="15"/>
  <c r="F36" i="15"/>
  <c r="C36" i="15"/>
  <c r="N16" i="15"/>
  <c r="O36" i="15"/>
  <c r="N15" i="15"/>
  <c r="O14" i="15"/>
  <c r="N14" i="15"/>
  <c r="N9" i="15"/>
  <c r="P9" i="15" s="1"/>
  <c r="N7" i="15"/>
  <c r="P7" i="15" s="1"/>
  <c r="H10" i="15"/>
  <c r="G10" i="15"/>
  <c r="F10" i="15"/>
  <c r="E10" i="15"/>
  <c r="D10" i="15"/>
  <c r="D38" i="15" s="1"/>
  <c r="C10" i="15"/>
  <c r="B10" i="15"/>
  <c r="O10" i="15"/>
  <c r="C28" i="14"/>
  <c r="D28" i="14"/>
  <c r="E28" i="14"/>
  <c r="F28" i="14"/>
  <c r="G28" i="14"/>
  <c r="H28" i="14"/>
  <c r="I28" i="14"/>
  <c r="J28" i="14"/>
  <c r="K28" i="14"/>
  <c r="L28" i="14"/>
  <c r="M28" i="14"/>
  <c r="B28" i="14"/>
  <c r="O27" i="14"/>
  <c r="F27" i="14"/>
  <c r="J27" i="14"/>
  <c r="C22" i="6"/>
  <c r="C27" i="14" s="1"/>
  <c r="D22" i="6"/>
  <c r="D27" i="14" s="1"/>
  <c r="E22" i="6"/>
  <c r="E27" i="14" s="1"/>
  <c r="F22" i="6"/>
  <c r="G22" i="6"/>
  <c r="G27" i="14" s="1"/>
  <c r="H22" i="6"/>
  <c r="H27" i="14" s="1"/>
  <c r="I22" i="6"/>
  <c r="I27" i="14" s="1"/>
  <c r="J22" i="6"/>
  <c r="K22" i="6"/>
  <c r="K27" i="14" s="1"/>
  <c r="L22" i="6"/>
  <c r="L27" i="14" s="1"/>
  <c r="M22" i="6"/>
  <c r="M27" i="14" s="1"/>
  <c r="B22" i="6"/>
  <c r="B27" i="14" s="1"/>
  <c r="L38" i="15" l="1"/>
  <c r="N22" i="15"/>
  <c r="N33" i="15"/>
  <c r="P33" i="15" s="1"/>
  <c r="H38" i="15"/>
  <c r="F38" i="15"/>
  <c r="E36" i="15"/>
  <c r="I36" i="15"/>
  <c r="M36" i="15"/>
  <c r="M10" i="15"/>
  <c r="N5" i="15"/>
  <c r="P5" i="15" s="1"/>
  <c r="K10" i="15"/>
  <c r="K38" i="15" s="1"/>
  <c r="N3" i="15"/>
  <c r="P3" i="15" s="1"/>
  <c r="J10" i="15"/>
  <c r="J38" i="15" s="1"/>
  <c r="I10" i="15"/>
  <c r="C38" i="15"/>
  <c r="G38" i="15"/>
  <c r="O38" i="15"/>
  <c r="V22" i="15"/>
  <c r="P22" i="15"/>
  <c r="E38" i="15"/>
  <c r="V16" i="15"/>
  <c r="P16" i="15"/>
  <c r="P15" i="15"/>
  <c r="P17" i="15"/>
  <c r="P18" i="15"/>
  <c r="P19" i="15"/>
  <c r="P20" i="15"/>
  <c r="P21" i="15"/>
  <c r="N6" i="15"/>
  <c r="P6" i="15" s="1"/>
  <c r="V15" i="15"/>
  <c r="B36" i="15"/>
  <c r="B38" i="15" s="1"/>
  <c r="I38" i="15" l="1"/>
  <c r="M38" i="15"/>
  <c r="N36" i="15"/>
  <c r="C16" i="1" s="1"/>
  <c r="P36" i="15"/>
  <c r="P10" i="15"/>
  <c r="N10" i="15"/>
  <c r="P38" i="15" l="1"/>
  <c r="N38" i="15"/>
  <c r="B16" i="1"/>
  <c r="C25" i="14"/>
  <c r="D25" i="14"/>
  <c r="E25" i="14"/>
  <c r="F25" i="14"/>
  <c r="G25" i="14"/>
  <c r="H25" i="14"/>
  <c r="I25" i="14"/>
  <c r="J25" i="14"/>
  <c r="K25" i="14"/>
  <c r="L25" i="14"/>
  <c r="M25" i="14"/>
  <c r="B25" i="14"/>
  <c r="C16" i="11" l="1"/>
  <c r="D16" i="11"/>
  <c r="E16" i="11"/>
  <c r="F16" i="11"/>
  <c r="G16" i="11"/>
  <c r="H16" i="11"/>
  <c r="I16" i="11"/>
  <c r="J16" i="11"/>
  <c r="K16" i="11"/>
  <c r="L16" i="11"/>
  <c r="B16" i="11"/>
  <c r="C19" i="6" l="1"/>
  <c r="D19" i="6"/>
  <c r="E19" i="6"/>
  <c r="F19" i="6"/>
  <c r="G19" i="6"/>
  <c r="H19" i="6"/>
  <c r="I19" i="6"/>
  <c r="J19" i="6"/>
  <c r="K19" i="6"/>
  <c r="L19" i="6"/>
  <c r="M19" i="6"/>
  <c r="B19" i="6"/>
  <c r="C9" i="6"/>
  <c r="D9" i="6"/>
  <c r="E9" i="6"/>
  <c r="F9" i="6"/>
  <c r="G9" i="6"/>
  <c r="H9" i="6"/>
  <c r="I9" i="6"/>
  <c r="J9" i="6"/>
  <c r="K9" i="6"/>
  <c r="L9" i="6"/>
  <c r="M9" i="6"/>
  <c r="B9" i="6"/>
  <c r="O5" i="6"/>
  <c r="N19" i="6" l="1"/>
  <c r="P19" i="6" s="1"/>
  <c r="G3" i="6" l="1"/>
  <c r="H3" i="6"/>
  <c r="C3" i="6"/>
  <c r="D3" i="6"/>
  <c r="E3" i="6"/>
  <c r="F3" i="6"/>
  <c r="I3" i="6"/>
  <c r="J3" i="6"/>
  <c r="K3" i="6"/>
  <c r="L3" i="6"/>
  <c r="M3" i="6"/>
  <c r="B3" i="6"/>
  <c r="N14" i="11" l="1"/>
  <c r="P14" i="11" s="1"/>
  <c r="E4" i="11"/>
  <c r="F4" i="11"/>
  <c r="G4" i="11"/>
  <c r="H4" i="11"/>
  <c r="I4" i="11"/>
  <c r="J4" i="11"/>
  <c r="K4" i="11"/>
  <c r="L4" i="11"/>
  <c r="M4" i="11"/>
  <c r="D4" i="11"/>
  <c r="C3" i="11"/>
  <c r="D3" i="11"/>
  <c r="B3" i="11"/>
  <c r="O3" i="11"/>
  <c r="F3" i="11"/>
  <c r="G3" i="11"/>
  <c r="H3" i="11"/>
  <c r="I3" i="11"/>
  <c r="J3" i="11"/>
  <c r="K3" i="11"/>
  <c r="L3" i="11"/>
  <c r="M3" i="11"/>
  <c r="E3" i="11"/>
  <c r="O24" i="5"/>
  <c r="N22" i="5"/>
  <c r="P22" i="5" s="1"/>
  <c r="O18" i="5"/>
  <c r="G17" i="2"/>
  <c r="O26" i="5"/>
  <c r="O13" i="5"/>
  <c r="N29" i="14"/>
  <c r="P29" i="14" s="1"/>
  <c r="N28" i="14"/>
  <c r="P28" i="14" s="1"/>
  <c r="N27" i="14"/>
  <c r="P27" i="14" s="1"/>
  <c r="N26" i="14"/>
  <c r="P26" i="14" s="1"/>
  <c r="N25" i="14"/>
  <c r="P25" i="14" s="1"/>
  <c r="N24" i="14"/>
  <c r="P24" i="14" s="1"/>
  <c r="N23" i="14"/>
  <c r="N22" i="14"/>
  <c r="P22" i="14" s="1"/>
  <c r="N21" i="14"/>
  <c r="N20" i="14"/>
  <c r="P20" i="14" s="1"/>
  <c r="N18" i="14"/>
  <c r="N17" i="14"/>
  <c r="V17" i="14" s="1"/>
  <c r="N16" i="14"/>
  <c r="N15" i="14"/>
  <c r="V15" i="14" s="1"/>
  <c r="L30" i="14"/>
  <c r="L3" i="14" s="1"/>
  <c r="L6" i="14" s="1"/>
  <c r="H30" i="14"/>
  <c r="H3" i="14" s="1"/>
  <c r="H6" i="14" s="1"/>
  <c r="D30" i="14"/>
  <c r="D3" i="14" s="1"/>
  <c r="D6" i="14" s="1"/>
  <c r="N12" i="14"/>
  <c r="V12" i="14" s="1"/>
  <c r="N11" i="14"/>
  <c r="O10" i="14"/>
  <c r="N10" i="14"/>
  <c r="N5" i="14"/>
  <c r="N4" i="14"/>
  <c r="P4" i="14" s="1"/>
  <c r="H11" i="7"/>
  <c r="I11" i="7"/>
  <c r="G11" i="7"/>
  <c r="H10" i="7"/>
  <c r="I10" i="7"/>
  <c r="G10" i="7"/>
  <c r="H10" i="8"/>
  <c r="I10" i="8"/>
  <c r="G10" i="8"/>
  <c r="H9" i="8"/>
  <c r="I9" i="8"/>
  <c r="G9" i="8"/>
  <c r="O9" i="8"/>
  <c r="O9" i="7"/>
  <c r="N9" i="7"/>
  <c r="O10" i="7"/>
  <c r="N19" i="14" l="1"/>
  <c r="P19" i="14" s="1"/>
  <c r="E30" i="14"/>
  <c r="I30" i="14"/>
  <c r="M30" i="14"/>
  <c r="P5" i="14"/>
  <c r="N13" i="14"/>
  <c r="V13" i="14" s="1"/>
  <c r="F30" i="14"/>
  <c r="J30" i="14"/>
  <c r="V16" i="14"/>
  <c r="V18" i="14"/>
  <c r="O30" i="14"/>
  <c r="C30" i="14"/>
  <c r="G30" i="14"/>
  <c r="K30" i="14"/>
  <c r="N14" i="14"/>
  <c r="V14" i="14" s="1"/>
  <c r="P21" i="14"/>
  <c r="P23" i="14"/>
  <c r="V19" i="14"/>
  <c r="D32" i="14"/>
  <c r="H32" i="14"/>
  <c r="L32" i="14"/>
  <c r="P11" i="14"/>
  <c r="P12" i="14"/>
  <c r="P15" i="14"/>
  <c r="P16" i="14"/>
  <c r="P17" i="14"/>
  <c r="P18" i="14"/>
  <c r="B30" i="14"/>
  <c r="O3" i="14" l="1"/>
  <c r="O6" i="14" s="1"/>
  <c r="E19" i="1" s="1"/>
  <c r="F19" i="1"/>
  <c r="C3" i="14"/>
  <c r="C6" i="14" s="1"/>
  <c r="C32" i="14" s="1"/>
  <c r="J3" i="14"/>
  <c r="J6" i="14" s="1"/>
  <c r="J32" i="14" s="1"/>
  <c r="M3" i="14"/>
  <c r="M6" i="14" s="1"/>
  <c r="M32" i="14" s="1"/>
  <c r="I3" i="14"/>
  <c r="I6" i="14" s="1"/>
  <c r="I32" i="14" s="1"/>
  <c r="F3" i="14"/>
  <c r="F6" i="14" s="1"/>
  <c r="F32" i="14" s="1"/>
  <c r="K3" i="14"/>
  <c r="K6" i="14" s="1"/>
  <c r="K32" i="14" s="1"/>
  <c r="E3" i="14"/>
  <c r="E6" i="14" s="1"/>
  <c r="E32" i="14" s="1"/>
  <c r="G3" i="14"/>
  <c r="G6" i="14" s="1"/>
  <c r="G32" i="14" s="1"/>
  <c r="B3" i="14"/>
  <c r="P13" i="14"/>
  <c r="P14" i="14"/>
  <c r="N30" i="14"/>
  <c r="C19" i="1" s="1"/>
  <c r="I19" i="1" s="1"/>
  <c r="G19" i="1" l="1"/>
  <c r="O32" i="14"/>
  <c r="B6" i="14"/>
  <c r="B32" i="14" s="1"/>
  <c r="N3" i="14"/>
  <c r="P30" i="14"/>
  <c r="C22" i="2"/>
  <c r="D22" i="2"/>
  <c r="E22" i="2"/>
  <c r="F22" i="2"/>
  <c r="G22" i="2"/>
  <c r="H22" i="2"/>
  <c r="I22" i="2"/>
  <c r="J22" i="2"/>
  <c r="K22" i="2"/>
  <c r="L22" i="2"/>
  <c r="M22" i="2"/>
  <c r="B22" i="2"/>
  <c r="L17" i="2"/>
  <c r="M17" i="2"/>
  <c r="K17" i="2"/>
  <c r="J17" i="2"/>
  <c r="I17" i="2"/>
  <c r="H17" i="2"/>
  <c r="F17" i="2"/>
  <c r="C17" i="2"/>
  <c r="D17" i="2"/>
  <c r="E17" i="2"/>
  <c r="B17" i="2"/>
  <c r="N14" i="2"/>
  <c r="M16" i="2"/>
  <c r="L16" i="2"/>
  <c r="K16" i="2"/>
  <c r="J16" i="2"/>
  <c r="I16" i="2"/>
  <c r="H16" i="2"/>
  <c r="G16" i="2"/>
  <c r="C16" i="2"/>
  <c r="D16" i="2"/>
  <c r="E16" i="2"/>
  <c r="F16" i="2"/>
  <c r="B16" i="2"/>
  <c r="N31" i="2"/>
  <c r="P31" i="2" s="1"/>
  <c r="C33" i="2"/>
  <c r="D33" i="2"/>
  <c r="E33" i="2"/>
  <c r="F33" i="2"/>
  <c r="G33" i="2"/>
  <c r="H33" i="2"/>
  <c r="I33" i="2"/>
  <c r="J33" i="2"/>
  <c r="K33" i="2"/>
  <c r="L33" i="2"/>
  <c r="M33" i="2"/>
  <c r="B33" i="2"/>
  <c r="O33" i="2"/>
  <c r="P3" i="14" l="1"/>
  <c r="P6" i="14" s="1"/>
  <c r="P32" i="14" s="1"/>
  <c r="N6" i="14"/>
  <c r="V14" i="2"/>
  <c r="B19" i="1" l="1"/>
  <c r="N32" i="14"/>
  <c r="E14" i="1"/>
  <c r="C12" i="13"/>
  <c r="D12" i="13"/>
  <c r="N12" i="13" s="1"/>
  <c r="E12" i="13"/>
  <c r="F12" i="13"/>
  <c r="F28" i="13" s="1"/>
  <c r="G12" i="13"/>
  <c r="H12" i="13"/>
  <c r="H28" i="13" s="1"/>
  <c r="I12" i="13"/>
  <c r="J12" i="13"/>
  <c r="J28" i="13" s="1"/>
  <c r="K12" i="13"/>
  <c r="L12" i="13"/>
  <c r="L28" i="13" s="1"/>
  <c r="M12" i="13"/>
  <c r="B12" i="13"/>
  <c r="B28" i="13"/>
  <c r="C7" i="13"/>
  <c r="D7" i="13"/>
  <c r="G7" i="13"/>
  <c r="H7" i="13"/>
  <c r="L7" i="13"/>
  <c r="O28" i="13"/>
  <c r="F14" i="1" s="1"/>
  <c r="M28" i="13"/>
  <c r="K28" i="13"/>
  <c r="I28" i="13"/>
  <c r="G28" i="13"/>
  <c r="E28" i="13"/>
  <c r="C28" i="13"/>
  <c r="N27" i="13"/>
  <c r="P27" i="13" s="1"/>
  <c r="P26" i="13"/>
  <c r="N26" i="13"/>
  <c r="N25" i="13"/>
  <c r="P25" i="13" s="1"/>
  <c r="P24" i="13"/>
  <c r="N24" i="13"/>
  <c r="N23" i="13"/>
  <c r="P23" i="13" s="1"/>
  <c r="P22" i="13"/>
  <c r="N22" i="13"/>
  <c r="N21" i="13"/>
  <c r="P21" i="13" s="1"/>
  <c r="P20" i="13"/>
  <c r="N20" i="13"/>
  <c r="N19" i="13"/>
  <c r="P19" i="13" s="1"/>
  <c r="P18" i="13"/>
  <c r="N18" i="13"/>
  <c r="N17" i="13"/>
  <c r="P17" i="13" s="1"/>
  <c r="P16" i="13"/>
  <c r="N16" i="13"/>
  <c r="N15" i="13"/>
  <c r="P15" i="13" s="1"/>
  <c r="N13" i="13"/>
  <c r="P13" i="13" s="1"/>
  <c r="P28" i="13" s="1"/>
  <c r="O11" i="13"/>
  <c r="N11" i="13"/>
  <c r="O7" i="13"/>
  <c r="M7" i="13"/>
  <c r="I7" i="13"/>
  <c r="I30" i="13" s="1"/>
  <c r="E7" i="13"/>
  <c r="P6" i="13"/>
  <c r="P5" i="13"/>
  <c r="N4" i="13"/>
  <c r="P4" i="13" s="1"/>
  <c r="K7" i="13"/>
  <c r="J7" i="13"/>
  <c r="F7" i="13"/>
  <c r="D19" i="1" l="1"/>
  <c r="J19" i="1" s="1"/>
  <c r="H19" i="1"/>
  <c r="M30" i="13"/>
  <c r="O30" i="13"/>
  <c r="F30" i="13"/>
  <c r="D28" i="13"/>
  <c r="D30" i="13" s="1"/>
  <c r="L30" i="13"/>
  <c r="H30" i="13"/>
  <c r="J30" i="13"/>
  <c r="G30" i="13"/>
  <c r="K30" i="13"/>
  <c r="E30" i="13"/>
  <c r="C30" i="13"/>
  <c r="N28" i="13"/>
  <c r="C14" i="1" s="1"/>
  <c r="P12" i="13"/>
  <c r="N3" i="13"/>
  <c r="P3" i="13" s="1"/>
  <c r="P7" i="13" s="1"/>
  <c r="B7" i="13"/>
  <c r="B30" i="13" s="1"/>
  <c r="C6" i="2"/>
  <c r="D6" i="2"/>
  <c r="E6" i="2"/>
  <c r="F6" i="2"/>
  <c r="G6" i="2"/>
  <c r="H6" i="2"/>
  <c r="I6" i="2"/>
  <c r="J6" i="2"/>
  <c r="K6" i="2"/>
  <c r="L6" i="2"/>
  <c r="M6" i="2"/>
  <c r="B6" i="2"/>
  <c r="N7" i="13" l="1"/>
  <c r="P30" i="13"/>
  <c r="N30" i="13" l="1"/>
  <c r="B14" i="1"/>
  <c r="S3" i="10" l="1"/>
  <c r="O13" i="10"/>
  <c r="N13" i="10"/>
  <c r="O11" i="11"/>
  <c r="N11" i="11"/>
  <c r="O12" i="9"/>
  <c r="N12" i="9"/>
  <c r="O8" i="8"/>
  <c r="N8" i="8"/>
  <c r="O11" i="5"/>
  <c r="N11" i="5"/>
  <c r="O13" i="2"/>
  <c r="N13" i="2"/>
  <c r="N3" i="2"/>
  <c r="G20" i="12" l="1"/>
  <c r="G19" i="12"/>
  <c r="F20" i="12"/>
  <c r="F19" i="12"/>
  <c r="G21" i="12"/>
  <c r="F21" i="12" l="1"/>
  <c r="F3" i="10" l="1"/>
  <c r="H3" i="10"/>
  <c r="I3" i="10"/>
  <c r="J3" i="10"/>
  <c r="K3" i="10"/>
  <c r="L3" i="10"/>
  <c r="M3" i="10"/>
  <c r="G3" i="10"/>
  <c r="B4" i="10"/>
  <c r="C4" i="10"/>
  <c r="D4" i="10"/>
  <c r="E4" i="10"/>
  <c r="G4" i="10"/>
  <c r="H4" i="10"/>
  <c r="I4" i="10"/>
  <c r="J4" i="10"/>
  <c r="K4" i="10"/>
  <c r="L4" i="10"/>
  <c r="M4" i="10"/>
  <c r="F4" i="10"/>
  <c r="B7" i="10"/>
  <c r="C7" i="10"/>
  <c r="D7" i="10"/>
  <c r="E7" i="10"/>
  <c r="G7" i="10"/>
  <c r="H7" i="10"/>
  <c r="I7" i="10"/>
  <c r="J7" i="10"/>
  <c r="K7" i="10"/>
  <c r="L7" i="10"/>
  <c r="M7" i="10"/>
  <c r="F7" i="10"/>
  <c r="G8" i="10"/>
  <c r="H8" i="10"/>
  <c r="I8" i="10"/>
  <c r="J8" i="10"/>
  <c r="K8" i="10"/>
  <c r="L8" i="10"/>
  <c r="M8" i="10"/>
  <c r="B8" i="10"/>
  <c r="C8" i="10"/>
  <c r="D8" i="10"/>
  <c r="E8" i="10"/>
  <c r="F8" i="10"/>
  <c r="I23" i="6"/>
  <c r="N22" i="6" l="1"/>
  <c r="G23" i="1" l="1"/>
  <c r="J22" i="1"/>
  <c r="D23" i="1"/>
  <c r="H22" i="1"/>
  <c r="I22" i="1"/>
  <c r="H23" i="1"/>
  <c r="I23" i="1"/>
  <c r="F12" i="12"/>
  <c r="F16" i="12" s="1"/>
  <c r="I16" i="1"/>
  <c r="I15" i="1"/>
  <c r="I14" i="1"/>
  <c r="H20" i="1"/>
  <c r="H16" i="1"/>
  <c r="H15" i="1"/>
  <c r="H14" i="1"/>
  <c r="F17" i="1"/>
  <c r="F11" i="1"/>
  <c r="F13" i="1"/>
  <c r="E17" i="1"/>
  <c r="E12" i="1"/>
  <c r="E11" i="1"/>
  <c r="E13" i="1"/>
  <c r="N12" i="5"/>
  <c r="P20" i="10"/>
  <c r="P21" i="10"/>
  <c r="P22" i="10"/>
  <c r="P5" i="10"/>
  <c r="P6" i="10"/>
  <c r="P5" i="11"/>
  <c r="P6" i="11"/>
  <c r="P3" i="2"/>
  <c r="H16" i="12"/>
  <c r="H12" i="12"/>
  <c r="G12" i="12"/>
  <c r="G16" i="12" s="1"/>
  <c r="J23" i="1" l="1"/>
  <c r="P12" i="5"/>
  <c r="V12" i="5"/>
  <c r="O36" i="2"/>
  <c r="F6" i="1" s="1"/>
  <c r="N21" i="6" l="1"/>
  <c r="P21" i="6" s="1"/>
  <c r="L29" i="11"/>
  <c r="H29" i="11"/>
  <c r="D29" i="11"/>
  <c r="N28" i="11"/>
  <c r="P28" i="11" s="1"/>
  <c r="N27" i="11"/>
  <c r="P27" i="11" s="1"/>
  <c r="N26" i="11"/>
  <c r="P26" i="11" s="1"/>
  <c r="N25" i="11"/>
  <c r="P25" i="11" s="1"/>
  <c r="N24" i="11"/>
  <c r="P24" i="11" s="1"/>
  <c r="N23" i="11"/>
  <c r="P23" i="11" s="1"/>
  <c r="N22" i="11"/>
  <c r="P22" i="11" s="1"/>
  <c r="N21" i="11"/>
  <c r="P21" i="11" s="1"/>
  <c r="N20" i="11"/>
  <c r="P20" i="11" s="1"/>
  <c r="N19" i="11"/>
  <c r="P19" i="11" s="1"/>
  <c r="N18" i="11"/>
  <c r="P18" i="11" s="1"/>
  <c r="N17" i="11"/>
  <c r="P17" i="11" s="1"/>
  <c r="N16" i="11"/>
  <c r="P16" i="11" s="1"/>
  <c r="N15" i="11"/>
  <c r="P15" i="11" s="1"/>
  <c r="N13" i="11"/>
  <c r="P13" i="11" s="1"/>
  <c r="N12" i="11"/>
  <c r="P12" i="11" s="1"/>
  <c r="O29" i="11"/>
  <c r="N4" i="11"/>
  <c r="P4" i="11" s="1"/>
  <c r="O7" i="11"/>
  <c r="B23" i="10"/>
  <c r="F12" i="1"/>
  <c r="N26" i="2"/>
  <c r="P26" i="2" s="1"/>
  <c r="O9" i="2"/>
  <c r="E6" i="1" s="1"/>
  <c r="C9" i="2"/>
  <c r="D9" i="2"/>
  <c r="E9" i="2"/>
  <c r="F9" i="2"/>
  <c r="G9" i="2"/>
  <c r="H9" i="2"/>
  <c r="I9" i="2"/>
  <c r="J9" i="2"/>
  <c r="K9" i="2"/>
  <c r="L9" i="2"/>
  <c r="M9" i="2"/>
  <c r="B9" i="2"/>
  <c r="N8" i="2"/>
  <c r="P8" i="2" s="1"/>
  <c r="G10" i="1" l="1"/>
  <c r="F10" i="1"/>
  <c r="P29" i="11"/>
  <c r="O31" i="11"/>
  <c r="E10" i="1"/>
  <c r="E29" i="11"/>
  <c r="I29" i="11"/>
  <c r="M29" i="11"/>
  <c r="C7" i="11"/>
  <c r="F7" i="11"/>
  <c r="N3" i="11"/>
  <c r="P3" i="11" s="1"/>
  <c r="P7" i="11" s="1"/>
  <c r="F29" i="11"/>
  <c r="J29" i="11"/>
  <c r="J7" i="11"/>
  <c r="J31" i="11" s="1"/>
  <c r="C29" i="11"/>
  <c r="G29" i="11"/>
  <c r="K29" i="11"/>
  <c r="D7" i="11"/>
  <c r="D31" i="11" s="1"/>
  <c r="H7" i="11"/>
  <c r="H31" i="11" s="1"/>
  <c r="L7" i="11"/>
  <c r="L31" i="11" s="1"/>
  <c r="E7" i="11"/>
  <c r="I7" i="11"/>
  <c r="M7" i="11"/>
  <c r="P31" i="11" l="1"/>
  <c r="M31" i="11"/>
  <c r="C31" i="11"/>
  <c r="K7" i="11"/>
  <c r="K31" i="11" s="1"/>
  <c r="G7" i="11"/>
  <c r="G31" i="11" s="1"/>
  <c r="I31" i="11"/>
  <c r="E31" i="11"/>
  <c r="F31" i="11"/>
  <c r="B7" i="11"/>
  <c r="N33" i="2"/>
  <c r="P33" i="2" s="1"/>
  <c r="C23" i="6"/>
  <c r="D23" i="6"/>
  <c r="F23" i="6"/>
  <c r="G23" i="6"/>
  <c r="K23" i="6"/>
  <c r="L23" i="6"/>
  <c r="B23" i="6"/>
  <c r="M23" i="6"/>
  <c r="N8" i="6"/>
  <c r="P8" i="6" s="1"/>
  <c r="E23" i="6"/>
  <c r="O23" i="6"/>
  <c r="F20" i="1" s="1"/>
  <c r="E14" i="12" s="1"/>
  <c r="P14" i="2" l="1"/>
  <c r="N7" i="11"/>
  <c r="B10" i="1" s="1"/>
  <c r="H10" i="1" s="1"/>
  <c r="B29" i="11"/>
  <c r="B31" i="11" s="1"/>
  <c r="N29" i="11"/>
  <c r="C10" i="1" s="1"/>
  <c r="I10" i="1" s="1"/>
  <c r="J23" i="6"/>
  <c r="H23" i="6"/>
  <c r="G17" i="1"/>
  <c r="N7" i="9"/>
  <c r="G12" i="1"/>
  <c r="G11" i="1"/>
  <c r="G13" i="1"/>
  <c r="B17" i="1" l="1"/>
  <c r="H17" i="1" s="1"/>
  <c r="P7" i="9"/>
  <c r="N31" i="11"/>
  <c r="C11" i="6"/>
  <c r="D11" i="6"/>
  <c r="E11" i="6"/>
  <c r="F11" i="6"/>
  <c r="G11" i="6"/>
  <c r="H11" i="6"/>
  <c r="I11" i="6"/>
  <c r="J11" i="6"/>
  <c r="K11" i="6"/>
  <c r="L11" i="6"/>
  <c r="M11" i="6"/>
  <c r="B11" i="6"/>
  <c r="C13" i="6"/>
  <c r="D13" i="6"/>
  <c r="E13" i="6"/>
  <c r="F13" i="6"/>
  <c r="G13" i="6"/>
  <c r="H13" i="6"/>
  <c r="I13" i="6"/>
  <c r="J13" i="6"/>
  <c r="K13" i="6"/>
  <c r="L13" i="6"/>
  <c r="M13" i="6"/>
  <c r="B13" i="6"/>
  <c r="C12" i="6"/>
  <c r="D12" i="6"/>
  <c r="E12" i="6"/>
  <c r="F12" i="6"/>
  <c r="G12" i="6"/>
  <c r="H12" i="6"/>
  <c r="I12" i="6"/>
  <c r="J12" i="6"/>
  <c r="K12" i="6"/>
  <c r="L12" i="6"/>
  <c r="M12" i="6"/>
  <c r="B12" i="6"/>
  <c r="C9" i="10"/>
  <c r="I9" i="10"/>
  <c r="M9" i="10"/>
  <c r="S8" i="10"/>
  <c r="S7" i="10"/>
  <c r="S5" i="10"/>
  <c r="E9" i="10"/>
  <c r="J9" i="10"/>
  <c r="M23" i="10"/>
  <c r="L23" i="10"/>
  <c r="K23" i="10"/>
  <c r="J23" i="10"/>
  <c r="I23" i="10"/>
  <c r="H23" i="10"/>
  <c r="G23" i="10"/>
  <c r="F23" i="10"/>
  <c r="E23" i="10"/>
  <c r="N22" i="10"/>
  <c r="N21" i="10"/>
  <c r="N20" i="10"/>
  <c r="N19" i="10"/>
  <c r="P19" i="10" s="1"/>
  <c r="N18" i="10"/>
  <c r="P18" i="10" s="1"/>
  <c r="N17" i="10"/>
  <c r="P17" i="10" s="1"/>
  <c r="N15" i="10"/>
  <c r="P15" i="10" s="1"/>
  <c r="O8" i="9"/>
  <c r="P22" i="6" l="1"/>
  <c r="F9" i="10"/>
  <c r="F25" i="10" s="1"/>
  <c r="N7" i="10"/>
  <c r="P7" i="10" s="1"/>
  <c r="N8" i="10"/>
  <c r="P8" i="10" s="1"/>
  <c r="N3" i="10"/>
  <c r="P3" i="10" s="1"/>
  <c r="D23" i="10"/>
  <c r="N14" i="10"/>
  <c r="C23" i="10"/>
  <c r="S4" i="10"/>
  <c r="S6" i="10"/>
  <c r="O9" i="10"/>
  <c r="E18" i="1" s="1"/>
  <c r="H18" i="1" s="1"/>
  <c r="O23" i="10"/>
  <c r="F18" i="1" s="1"/>
  <c r="I18" i="1" s="1"/>
  <c r="J25" i="10"/>
  <c r="N6" i="10"/>
  <c r="R6" i="10" s="1"/>
  <c r="E25" i="10"/>
  <c r="I25" i="10"/>
  <c r="M25" i="10"/>
  <c r="G9" i="10"/>
  <c r="G25" i="10" s="1"/>
  <c r="K9" i="10"/>
  <c r="K25" i="10" s="1"/>
  <c r="D9" i="10"/>
  <c r="H9" i="10"/>
  <c r="H25" i="10" s="1"/>
  <c r="L9" i="10"/>
  <c r="L25" i="10" s="1"/>
  <c r="C70" i="9"/>
  <c r="D70" i="9"/>
  <c r="E70" i="9"/>
  <c r="F70" i="9"/>
  <c r="G70" i="9"/>
  <c r="H70" i="9"/>
  <c r="I70" i="9"/>
  <c r="J70" i="9"/>
  <c r="K70" i="9"/>
  <c r="L70" i="9"/>
  <c r="M70" i="9"/>
  <c r="B70" i="9"/>
  <c r="C69" i="9"/>
  <c r="D69" i="9"/>
  <c r="E69" i="9"/>
  <c r="F69" i="9"/>
  <c r="G69" i="9"/>
  <c r="H69" i="9"/>
  <c r="I69" i="9"/>
  <c r="J69" i="9"/>
  <c r="K69" i="9"/>
  <c r="L69" i="9"/>
  <c r="M69" i="9"/>
  <c r="B69" i="9"/>
  <c r="B72" i="9"/>
  <c r="C67" i="9"/>
  <c r="D67" i="9"/>
  <c r="E67" i="9"/>
  <c r="F67" i="9"/>
  <c r="G67" i="9"/>
  <c r="H67" i="9"/>
  <c r="I67" i="9"/>
  <c r="J67" i="9"/>
  <c r="K67" i="9"/>
  <c r="L67" i="9"/>
  <c r="M67" i="9"/>
  <c r="B67" i="9"/>
  <c r="N55" i="9"/>
  <c r="N56" i="9"/>
  <c r="N58" i="9"/>
  <c r="C65" i="9"/>
  <c r="D65" i="9"/>
  <c r="E65" i="9"/>
  <c r="F65" i="9"/>
  <c r="G65" i="9"/>
  <c r="H65" i="9"/>
  <c r="I65" i="9"/>
  <c r="J65" i="9"/>
  <c r="K65" i="9"/>
  <c r="L65" i="9"/>
  <c r="M65" i="9"/>
  <c r="B65" i="9"/>
  <c r="L78" i="9" l="1"/>
  <c r="P14" i="10"/>
  <c r="R3" i="10"/>
  <c r="R7" i="10"/>
  <c r="R8" i="10"/>
  <c r="D25" i="10"/>
  <c r="C25" i="10"/>
  <c r="O25" i="10"/>
  <c r="G18" i="1" s="1"/>
  <c r="J18" i="1" s="1"/>
  <c r="N5" i="10"/>
  <c r="N17" i="6"/>
  <c r="P17" i="6" s="1"/>
  <c r="M78" i="9"/>
  <c r="M4" i="9" s="1"/>
  <c r="L4" i="9"/>
  <c r="J78" i="9"/>
  <c r="J4" i="9" s="1"/>
  <c r="I78" i="9"/>
  <c r="I4" i="9" s="1"/>
  <c r="F78" i="9"/>
  <c r="F4" i="9" s="1"/>
  <c r="E78" i="9"/>
  <c r="E4" i="9" s="1"/>
  <c r="D78" i="9"/>
  <c r="D4" i="9" s="1"/>
  <c r="B78" i="9"/>
  <c r="N77" i="9"/>
  <c r="N76" i="9"/>
  <c r="K78" i="9"/>
  <c r="K4" i="9" s="1"/>
  <c r="G78" i="9"/>
  <c r="G4" i="9" s="1"/>
  <c r="C78" i="9"/>
  <c r="C4" i="9" s="1"/>
  <c r="N75" i="9"/>
  <c r="H78" i="9"/>
  <c r="H4" i="9" s="1"/>
  <c r="N73" i="9"/>
  <c r="N72" i="9"/>
  <c r="N71" i="9"/>
  <c r="N70" i="9"/>
  <c r="N69" i="9"/>
  <c r="N68" i="9"/>
  <c r="N67" i="9"/>
  <c r="N42" i="9"/>
  <c r="C53" i="9"/>
  <c r="D53" i="9"/>
  <c r="E53" i="9"/>
  <c r="F53" i="9"/>
  <c r="G53" i="9"/>
  <c r="H53" i="9"/>
  <c r="I53" i="9"/>
  <c r="J53" i="9"/>
  <c r="K53" i="9"/>
  <c r="L53" i="9"/>
  <c r="M53" i="9"/>
  <c r="C49" i="9"/>
  <c r="D49" i="9"/>
  <c r="E49" i="9"/>
  <c r="F49" i="9"/>
  <c r="G49" i="9"/>
  <c r="H49" i="9"/>
  <c r="I49" i="9"/>
  <c r="J49" i="9"/>
  <c r="K49" i="9"/>
  <c r="L49" i="9"/>
  <c r="M49" i="9"/>
  <c r="B49" i="9"/>
  <c r="C51" i="9"/>
  <c r="D51" i="9"/>
  <c r="E51" i="9"/>
  <c r="F51" i="9"/>
  <c r="G51" i="9"/>
  <c r="H51" i="9"/>
  <c r="I51" i="9"/>
  <c r="J51" i="9"/>
  <c r="K51" i="9"/>
  <c r="L51" i="9"/>
  <c r="M51" i="9"/>
  <c r="B51" i="9"/>
  <c r="C54" i="9"/>
  <c r="D54" i="9"/>
  <c r="E54" i="9"/>
  <c r="F54" i="9"/>
  <c r="G54" i="9"/>
  <c r="H54" i="9"/>
  <c r="I54" i="9"/>
  <c r="J54" i="9"/>
  <c r="K54" i="9"/>
  <c r="L54" i="9"/>
  <c r="M54" i="9"/>
  <c r="B54" i="9"/>
  <c r="N47" i="9"/>
  <c r="B4" i="9" l="1"/>
  <c r="N78" i="9"/>
  <c r="N52" i="9"/>
  <c r="N48" i="9"/>
  <c r="B9" i="10"/>
  <c r="N4" i="10"/>
  <c r="N16" i="10"/>
  <c r="N65" i="9"/>
  <c r="N74" i="9"/>
  <c r="N53" i="9"/>
  <c r="N49" i="9"/>
  <c r="N51" i="9"/>
  <c r="N54" i="9"/>
  <c r="B60" i="9"/>
  <c r="B5" i="9" s="1"/>
  <c r="N41" i="9"/>
  <c r="N43" i="9"/>
  <c r="N44" i="9"/>
  <c r="N45" i="9"/>
  <c r="N46" i="9"/>
  <c r="N59" i="9"/>
  <c r="C60" i="9"/>
  <c r="C5" i="9" s="1"/>
  <c r="C15" i="9" s="1"/>
  <c r="D60" i="9"/>
  <c r="D5" i="9" s="1"/>
  <c r="D15" i="9" s="1"/>
  <c r="E60" i="9"/>
  <c r="E5" i="9" s="1"/>
  <c r="E15" i="9" s="1"/>
  <c r="F60" i="9"/>
  <c r="F5" i="9" s="1"/>
  <c r="F15" i="9" s="1"/>
  <c r="G60" i="9"/>
  <c r="G5" i="9" s="1"/>
  <c r="G15" i="9" s="1"/>
  <c r="H60" i="9"/>
  <c r="H5" i="9" s="1"/>
  <c r="H15" i="9" s="1"/>
  <c r="I60" i="9"/>
  <c r="I5" i="9" s="1"/>
  <c r="I15" i="9" s="1"/>
  <c r="J60" i="9"/>
  <c r="J5" i="9" s="1"/>
  <c r="J15" i="9" s="1"/>
  <c r="K60" i="9"/>
  <c r="K5" i="9" s="1"/>
  <c r="K15" i="9" s="1"/>
  <c r="L60" i="9"/>
  <c r="L5" i="9" s="1"/>
  <c r="L15" i="9" s="1"/>
  <c r="M60" i="9"/>
  <c r="M5" i="9" s="1"/>
  <c r="M15" i="9" s="1"/>
  <c r="N40" i="9"/>
  <c r="N23" i="10" l="1"/>
  <c r="P16" i="10"/>
  <c r="P23" i="10" s="1"/>
  <c r="N9" i="10"/>
  <c r="P4" i="10"/>
  <c r="P9" i="10" s="1"/>
  <c r="J8" i="9"/>
  <c r="H8" i="9"/>
  <c r="D8" i="9"/>
  <c r="M8" i="9"/>
  <c r="L8" i="9"/>
  <c r="I8" i="9"/>
  <c r="F8" i="9"/>
  <c r="C8" i="9"/>
  <c r="K8" i="9"/>
  <c r="E8" i="9"/>
  <c r="B8" i="9"/>
  <c r="G8" i="9"/>
  <c r="R5" i="10"/>
  <c r="R4" i="10"/>
  <c r="B25" i="10"/>
  <c r="N15" i="9"/>
  <c r="N60" i="9"/>
  <c r="N30" i="9"/>
  <c r="P30" i="9" s="1"/>
  <c r="N29" i="9"/>
  <c r="P29" i="9" s="1"/>
  <c r="N28" i="9"/>
  <c r="P28" i="9" s="1"/>
  <c r="N27" i="9"/>
  <c r="P27" i="9" s="1"/>
  <c r="O31" i="9"/>
  <c r="N19" i="9"/>
  <c r="P19" i="9" s="1"/>
  <c r="N18" i="9"/>
  <c r="P18" i="9" s="1"/>
  <c r="N17" i="9"/>
  <c r="N16" i="9"/>
  <c r="P16" i="9" s="1"/>
  <c r="N14" i="9"/>
  <c r="N6" i="9"/>
  <c r="P6" i="9" s="1"/>
  <c r="N5" i="9"/>
  <c r="P5" i="9" s="1"/>
  <c r="N4" i="9"/>
  <c r="N3" i="9"/>
  <c r="C14" i="8"/>
  <c r="M12" i="8"/>
  <c r="L12" i="8"/>
  <c r="K12" i="8"/>
  <c r="J12" i="8"/>
  <c r="F12" i="8"/>
  <c r="E12" i="8"/>
  <c r="D12" i="8"/>
  <c r="C12" i="8"/>
  <c r="B12" i="8"/>
  <c r="N11" i="8"/>
  <c r="P11" i="8" s="1"/>
  <c r="I12" i="8"/>
  <c r="H12" i="8"/>
  <c r="O12" i="8"/>
  <c r="F7" i="1" s="1"/>
  <c r="N9" i="8"/>
  <c r="P9" i="8" s="1"/>
  <c r="O4" i="8"/>
  <c r="E7" i="1" s="1"/>
  <c r="M4" i="8"/>
  <c r="M14" i="8" s="1"/>
  <c r="L4" i="8"/>
  <c r="L14" i="8" s="1"/>
  <c r="K4" i="8"/>
  <c r="K14" i="8" s="1"/>
  <c r="J4" i="8"/>
  <c r="I4" i="8"/>
  <c r="H4" i="8"/>
  <c r="G4" i="8"/>
  <c r="F4" i="8"/>
  <c r="F14" i="8" s="1"/>
  <c r="E4" i="8"/>
  <c r="E14" i="8" s="1"/>
  <c r="D4" i="8"/>
  <c r="D14" i="8" s="1"/>
  <c r="C4" i="8"/>
  <c r="B4" i="8"/>
  <c r="B14" i="8" s="1"/>
  <c r="N3" i="8"/>
  <c r="H13" i="7"/>
  <c r="I13" i="7"/>
  <c r="G13" i="7"/>
  <c r="N10" i="7"/>
  <c r="P10" i="7" s="1"/>
  <c r="O13" i="7"/>
  <c r="F9" i="1" s="1"/>
  <c r="M13" i="7"/>
  <c r="L13" i="7"/>
  <c r="K13" i="7"/>
  <c r="J13" i="7"/>
  <c r="F13" i="7"/>
  <c r="E13" i="7"/>
  <c r="D13" i="7"/>
  <c r="C13" i="7"/>
  <c r="B13" i="7"/>
  <c r="N12" i="7"/>
  <c r="P12" i="7" s="1"/>
  <c r="O5" i="7"/>
  <c r="E9" i="1" s="1"/>
  <c r="M5" i="7"/>
  <c r="L5" i="7"/>
  <c r="K5" i="7"/>
  <c r="J5" i="7"/>
  <c r="I5" i="7"/>
  <c r="H5" i="7"/>
  <c r="G5" i="7"/>
  <c r="F5" i="7"/>
  <c r="E5" i="7"/>
  <c r="D5" i="7"/>
  <c r="C5" i="7"/>
  <c r="B5" i="7"/>
  <c r="N4" i="7"/>
  <c r="P4" i="7" s="1"/>
  <c r="N3" i="7"/>
  <c r="P3" i="7" s="1"/>
  <c r="D14" i="1"/>
  <c r="J14" i="1" s="1"/>
  <c r="D15" i="1"/>
  <c r="J15" i="1" s="1"/>
  <c r="D16" i="1"/>
  <c r="J16" i="1" s="1"/>
  <c r="N6" i="6"/>
  <c r="P6" i="6" s="1"/>
  <c r="N20" i="6"/>
  <c r="P20" i="6" s="1"/>
  <c r="N18" i="6"/>
  <c r="P18" i="6" s="1"/>
  <c r="N16" i="6"/>
  <c r="P16" i="6" s="1"/>
  <c r="N15" i="6"/>
  <c r="P15" i="6" s="1"/>
  <c r="N14" i="6"/>
  <c r="P14" i="6" s="1"/>
  <c r="N13" i="6"/>
  <c r="P13" i="6" s="1"/>
  <c r="N12" i="6"/>
  <c r="P12" i="6" s="1"/>
  <c r="N11" i="6"/>
  <c r="P11" i="6" s="1"/>
  <c r="N10" i="6"/>
  <c r="P10" i="6" s="1"/>
  <c r="N9" i="6"/>
  <c r="P9" i="6" s="1"/>
  <c r="N7" i="6"/>
  <c r="P7" i="6" s="1"/>
  <c r="N5" i="6"/>
  <c r="P5" i="6" s="1"/>
  <c r="N4" i="6"/>
  <c r="P4" i="6" s="1"/>
  <c r="N3" i="6"/>
  <c r="C12" i="1" l="1"/>
  <c r="I12" i="1" s="1"/>
  <c r="P15" i="9"/>
  <c r="B11" i="1"/>
  <c r="H11" i="1" s="1"/>
  <c r="P3" i="9"/>
  <c r="B13" i="1"/>
  <c r="H13" i="1" s="1"/>
  <c r="P4" i="9"/>
  <c r="P25" i="10"/>
  <c r="P3" i="6"/>
  <c r="P23" i="6" s="1"/>
  <c r="N23" i="6"/>
  <c r="C20" i="1" s="1"/>
  <c r="I20" i="1" s="1"/>
  <c r="P5" i="7"/>
  <c r="N25" i="10"/>
  <c r="C13" i="1"/>
  <c r="I13" i="1" s="1"/>
  <c r="P14" i="9"/>
  <c r="C17" i="1"/>
  <c r="P17" i="9"/>
  <c r="N4" i="8"/>
  <c r="B7" i="1" s="1"/>
  <c r="H7" i="1" s="1"/>
  <c r="P3" i="8"/>
  <c r="P4" i="8" s="1"/>
  <c r="O14" i="8"/>
  <c r="G7" i="1" s="1"/>
  <c r="B12" i="1"/>
  <c r="O33" i="9"/>
  <c r="C31" i="9"/>
  <c r="C33" i="9" s="1"/>
  <c r="B31" i="9"/>
  <c r="B33" i="9" s="1"/>
  <c r="I14" i="8"/>
  <c r="J14" i="8"/>
  <c r="N10" i="8"/>
  <c r="H14" i="8"/>
  <c r="G12" i="8"/>
  <c r="G14" i="8" s="1"/>
  <c r="I15" i="7"/>
  <c r="N11" i="7"/>
  <c r="K15" i="7"/>
  <c r="C15" i="7"/>
  <c r="H15" i="7"/>
  <c r="G15" i="7"/>
  <c r="O15" i="7"/>
  <c r="G9" i="1" s="1"/>
  <c r="D15" i="7"/>
  <c r="L15" i="7"/>
  <c r="E15" i="7"/>
  <c r="M15" i="7"/>
  <c r="B15" i="7"/>
  <c r="F15" i="7"/>
  <c r="J15" i="7"/>
  <c r="N5" i="7"/>
  <c r="B9" i="1" s="1"/>
  <c r="H9" i="1" s="1"/>
  <c r="G20" i="1"/>
  <c r="O30" i="5"/>
  <c r="F8" i="1" s="1"/>
  <c r="F25" i="1" s="1"/>
  <c r="O7" i="5"/>
  <c r="E8" i="1" s="1"/>
  <c r="E25" i="1" s="1"/>
  <c r="B30" i="5"/>
  <c r="B7" i="5"/>
  <c r="O38" i="2"/>
  <c r="G6" i="1" s="1"/>
  <c r="P8" i="9" l="1"/>
  <c r="E27" i="1"/>
  <c r="E8" i="12"/>
  <c r="F27" i="1"/>
  <c r="E10" i="12"/>
  <c r="N13" i="7"/>
  <c r="C9" i="1" s="1"/>
  <c r="D9" i="1" s="1"/>
  <c r="J9" i="1" s="1"/>
  <c r="P11" i="7"/>
  <c r="P13" i="7" s="1"/>
  <c r="P15" i="7" s="1"/>
  <c r="D12" i="1"/>
  <c r="J12" i="1" s="1"/>
  <c r="H12" i="1"/>
  <c r="D13" i="1"/>
  <c r="J13" i="1" s="1"/>
  <c r="D17" i="1"/>
  <c r="J17" i="1" s="1"/>
  <c r="I17" i="1"/>
  <c r="N12" i="8"/>
  <c r="C7" i="1" s="1"/>
  <c r="P10" i="8"/>
  <c r="P12" i="8" s="1"/>
  <c r="P14" i="8" s="1"/>
  <c r="D20" i="1"/>
  <c r="J20" i="1" s="1"/>
  <c r="D14" i="12"/>
  <c r="N8" i="9"/>
  <c r="D10" i="1"/>
  <c r="J10" i="1" s="1"/>
  <c r="D31" i="9"/>
  <c r="D33" i="9" s="1"/>
  <c r="B32" i="5"/>
  <c r="O32" i="5"/>
  <c r="G8" i="1" s="1"/>
  <c r="G25" i="1" s="1"/>
  <c r="N7" i="2"/>
  <c r="P7" i="2" s="1"/>
  <c r="N6" i="2"/>
  <c r="P6" i="2" s="1"/>
  <c r="N5" i="2"/>
  <c r="P5" i="2" s="1"/>
  <c r="N4" i="2"/>
  <c r="P4" i="2" s="1"/>
  <c r="M7" i="5"/>
  <c r="L7" i="5"/>
  <c r="K7" i="5"/>
  <c r="J7" i="5"/>
  <c r="I7" i="5"/>
  <c r="H7" i="5"/>
  <c r="G7" i="5"/>
  <c r="F7" i="5"/>
  <c r="E7" i="5"/>
  <c r="D7" i="5"/>
  <c r="C7" i="5"/>
  <c r="N6" i="5"/>
  <c r="P6" i="5" s="1"/>
  <c r="N5" i="5"/>
  <c r="P5" i="5" s="1"/>
  <c r="N4" i="5"/>
  <c r="P4" i="5" s="1"/>
  <c r="N3" i="5"/>
  <c r="P3" i="5" s="1"/>
  <c r="N29" i="5"/>
  <c r="P29" i="5" s="1"/>
  <c r="N27" i="5"/>
  <c r="P27" i="5" s="1"/>
  <c r="N26" i="5"/>
  <c r="P26" i="5" s="1"/>
  <c r="N25" i="5"/>
  <c r="P25" i="5" s="1"/>
  <c r="N24" i="5"/>
  <c r="P24" i="5" s="1"/>
  <c r="N23" i="5"/>
  <c r="P23" i="5" s="1"/>
  <c r="N21" i="5"/>
  <c r="P21" i="5" s="1"/>
  <c r="N20" i="5"/>
  <c r="P20" i="5" s="1"/>
  <c r="N19" i="5"/>
  <c r="P19" i="5" s="1"/>
  <c r="N18" i="5"/>
  <c r="P18" i="5" s="1"/>
  <c r="N17" i="5"/>
  <c r="P17" i="5" s="1"/>
  <c r="N16" i="5"/>
  <c r="P16" i="5" s="1"/>
  <c r="N15" i="5"/>
  <c r="P15" i="5" s="1"/>
  <c r="E12" i="12" l="1"/>
  <c r="E16" i="12" s="1"/>
  <c r="G27" i="1"/>
  <c r="N15" i="7"/>
  <c r="I9" i="1"/>
  <c r="D7" i="1"/>
  <c r="J7" i="1" s="1"/>
  <c r="I7" i="1"/>
  <c r="P7" i="5"/>
  <c r="P9" i="2"/>
  <c r="N14" i="8"/>
  <c r="N9" i="2"/>
  <c r="B6" i="1" s="1"/>
  <c r="H6" i="1" s="1"/>
  <c r="E31" i="9"/>
  <c r="E33" i="9" s="1"/>
  <c r="N7" i="5"/>
  <c r="B8" i="1" s="1"/>
  <c r="H8" i="1" s="1"/>
  <c r="N13" i="5"/>
  <c r="N28" i="5"/>
  <c r="P28" i="5" s="1"/>
  <c r="N14" i="5"/>
  <c r="P14" i="5" s="1"/>
  <c r="C30" i="5"/>
  <c r="C32" i="5" s="1"/>
  <c r="N35" i="2"/>
  <c r="P35" i="2" s="1"/>
  <c r="P13" i="5" l="1"/>
  <c r="P30" i="5" s="1"/>
  <c r="P32" i="5" s="1"/>
  <c r="V13" i="5"/>
  <c r="H25" i="1"/>
  <c r="H27" i="1" s="1"/>
  <c r="B25" i="1"/>
  <c r="F31" i="9"/>
  <c r="F33" i="9" s="1"/>
  <c r="D30" i="5"/>
  <c r="D32" i="5" s="1"/>
  <c r="N21" i="2"/>
  <c r="N22" i="2"/>
  <c r="N23" i="2"/>
  <c r="P23" i="2" s="1"/>
  <c r="N24" i="2"/>
  <c r="P24" i="2" s="1"/>
  <c r="N20" i="2"/>
  <c r="G82" i="3"/>
  <c r="F84" i="3" s="1"/>
  <c r="F85" i="3" s="1"/>
  <c r="F82" i="3"/>
  <c r="F77" i="3"/>
  <c r="F78" i="3"/>
  <c r="F79" i="3"/>
  <c r="F80" i="3"/>
  <c r="F81" i="3"/>
  <c r="F76" i="3"/>
  <c r="P20" i="2" l="1"/>
  <c r="V20" i="2"/>
  <c r="P21" i="2"/>
  <c r="V21" i="2"/>
  <c r="P22" i="2"/>
  <c r="V22" i="2"/>
  <c r="D8" i="12"/>
  <c r="B27" i="1"/>
  <c r="G31" i="9"/>
  <c r="G33" i="9" s="1"/>
  <c r="E30" i="5"/>
  <c r="E32" i="5" s="1"/>
  <c r="N34" i="2"/>
  <c r="P34" i="2" s="1"/>
  <c r="N15" i="2"/>
  <c r="N16" i="2"/>
  <c r="V16" i="2" s="1"/>
  <c r="N17" i="2"/>
  <c r="N19" i="2"/>
  <c r="V19" i="2" s="1"/>
  <c r="N25" i="2"/>
  <c r="P25" i="2" s="1"/>
  <c r="N27" i="2"/>
  <c r="N18" i="2"/>
  <c r="N28" i="2"/>
  <c r="P28" i="2" s="1"/>
  <c r="N29" i="2"/>
  <c r="P29" i="2" s="1"/>
  <c r="N30" i="2"/>
  <c r="P30" i="2" s="1"/>
  <c r="N32" i="2"/>
  <c r="P32" i="2" s="1"/>
  <c r="C37" i="3"/>
  <c r="F37" i="3" s="1"/>
  <c r="B36" i="3"/>
  <c r="C36" i="3"/>
  <c r="D36" i="3" s="1"/>
  <c r="B35" i="3"/>
  <c r="C35" i="3"/>
  <c r="F35" i="3" s="1"/>
  <c r="B34" i="3"/>
  <c r="C34" i="3" s="1"/>
  <c r="F36" i="3"/>
  <c r="F32" i="3"/>
  <c r="C33" i="3"/>
  <c r="F33" i="3" s="1"/>
  <c r="C31" i="3"/>
  <c r="P15" i="2" l="1"/>
  <c r="V15" i="2"/>
  <c r="P18" i="2"/>
  <c r="V18" i="2"/>
  <c r="P19" i="2"/>
  <c r="P16" i="2"/>
  <c r="D31" i="3"/>
  <c r="F31" i="3"/>
  <c r="P17" i="2"/>
  <c r="V17" i="2"/>
  <c r="P27" i="2"/>
  <c r="N36" i="2"/>
  <c r="H31" i="9"/>
  <c r="H33" i="9" s="1"/>
  <c r="F30" i="5"/>
  <c r="F32" i="5" s="1"/>
  <c r="F34" i="3"/>
  <c r="D34" i="3"/>
  <c r="D33" i="3"/>
  <c r="D35" i="3"/>
  <c r="D37" i="3"/>
  <c r="P36" i="2" l="1"/>
  <c r="P38" i="2" s="1"/>
  <c r="I31" i="9"/>
  <c r="I33" i="9" s="1"/>
  <c r="G30" i="5"/>
  <c r="G32" i="5" s="1"/>
  <c r="F38" i="3"/>
  <c r="J31" i="9" l="1"/>
  <c r="J33" i="9" s="1"/>
  <c r="H30" i="5"/>
  <c r="H32" i="5" s="1"/>
  <c r="B36" i="2"/>
  <c r="B38" i="2" s="1"/>
  <c r="K31" i="9" l="1"/>
  <c r="K33" i="9" s="1"/>
  <c r="I30" i="5"/>
  <c r="I32" i="5" s="1"/>
  <c r="C36" i="2"/>
  <c r="C38" i="2" s="1"/>
  <c r="L31" i="9" l="1"/>
  <c r="L33" i="9" s="1"/>
  <c r="J30" i="5"/>
  <c r="J32" i="5" s="1"/>
  <c r="D36" i="2"/>
  <c r="D38" i="2" s="1"/>
  <c r="M31" i="9" l="1"/>
  <c r="M33" i="9" s="1"/>
  <c r="N13" i="9"/>
  <c r="P13" i="9" s="1"/>
  <c r="P31" i="9" s="1"/>
  <c r="P33" i="9" s="1"/>
  <c r="K30" i="5"/>
  <c r="K32" i="5" s="1"/>
  <c r="E36" i="2"/>
  <c r="E38" i="2" s="1"/>
  <c r="N31" i="9" l="1"/>
  <c r="N33" i="9" s="1"/>
  <c r="C11" i="1"/>
  <c r="L30" i="5"/>
  <c r="L32" i="5" s="1"/>
  <c r="F36" i="2"/>
  <c r="F38" i="2" s="1"/>
  <c r="D11" i="1" l="1"/>
  <c r="J11" i="1" s="1"/>
  <c r="I11" i="1"/>
  <c r="M30" i="5"/>
  <c r="M32" i="5" s="1"/>
  <c r="N30" i="5"/>
  <c r="G36" i="2"/>
  <c r="G38" i="2" s="1"/>
  <c r="N32" i="5" l="1"/>
  <c r="C8" i="1"/>
  <c r="H36" i="2"/>
  <c r="H38" i="2" s="1"/>
  <c r="D8" i="1" l="1"/>
  <c r="J8" i="1" s="1"/>
  <c r="I8" i="1"/>
  <c r="I36" i="2"/>
  <c r="I38" i="2" s="1"/>
  <c r="J36" i="2" l="1"/>
  <c r="J38" i="2" s="1"/>
  <c r="K36" i="2" l="1"/>
  <c r="K38" i="2" s="1"/>
  <c r="L36" i="2" l="1"/>
  <c r="L38" i="2" s="1"/>
  <c r="M36" i="2" l="1"/>
  <c r="M38" i="2" s="1"/>
  <c r="C6" i="1" l="1"/>
  <c r="I6" i="1" s="1"/>
  <c r="I25" i="1" s="1"/>
  <c r="I27" i="1" s="1"/>
  <c r="J27" i="1" s="1"/>
  <c r="C25" i="1" l="1"/>
  <c r="D6" i="1"/>
  <c r="N38" i="2"/>
  <c r="D10" i="12" l="1"/>
  <c r="D12" i="12" s="1"/>
  <c r="D16" i="12" s="1"/>
  <c r="C27" i="1"/>
  <c r="D27" i="1" s="1"/>
  <c r="D25" i="1"/>
  <c r="J6" i="1"/>
  <c r="J25" i="1" s="1"/>
</calcChain>
</file>

<file path=xl/comments1.xml><?xml version="1.0" encoding="utf-8"?>
<comments xmlns="http://schemas.openxmlformats.org/spreadsheetml/2006/main">
  <authors>
    <author>תומר חדד</author>
  </authors>
  <commentList>
    <comment ref="A27" authorId="0">
      <text>
        <r>
          <rPr>
            <b/>
            <sz val="9"/>
            <color indexed="81"/>
            <rFont val="Tahoma"/>
            <family val="2"/>
          </rPr>
          <t>אירועים חד"פ מנויים ועובדים</t>
        </r>
      </text>
    </comment>
    <comment ref="A34" authorId="0">
      <text>
        <r>
          <rPr>
            <b/>
            <sz val="9"/>
            <color indexed="81"/>
            <rFont val="Tahoma"/>
            <family val="2"/>
          </rPr>
          <t xml:space="preserve">חלק יחסי של הקאנטרי במכלול העלות </t>
        </r>
      </text>
    </comment>
  </commentList>
</comments>
</file>

<file path=xl/comments2.xml><?xml version="1.0" encoding="utf-8"?>
<comments xmlns="http://schemas.openxmlformats.org/spreadsheetml/2006/main">
  <authors>
    <author>תומר חדד</author>
  </authors>
  <commentList>
    <comment ref="A23" authorId="0">
      <text>
        <r>
          <rPr>
            <b/>
            <sz val="9"/>
            <color indexed="81"/>
            <rFont val="Tahoma"/>
            <family val="2"/>
          </rPr>
          <t>אירועים חד"פ מנויים ועובדים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 xml:space="preserve">חלק יחסי של הקאנטרי במכלול העלות </t>
        </r>
      </text>
    </comment>
  </commentList>
</comments>
</file>

<file path=xl/comments3.xml><?xml version="1.0" encoding="utf-8"?>
<comments xmlns="http://schemas.openxmlformats.org/spreadsheetml/2006/main">
  <authors>
    <author>תומר חדד</author>
  </authors>
  <commentList>
    <comment ref="A24" authorId="0">
      <text>
        <r>
          <rPr>
            <b/>
            <sz val="9"/>
            <color indexed="81"/>
            <rFont val="Tahoma"/>
            <family val="2"/>
          </rPr>
          <t>אירועים חד"פ מנויים ועובדים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 xml:space="preserve">חלק יחסי של הקאנטרי במכלול העלות </t>
        </r>
      </text>
    </comment>
  </commentList>
</comments>
</file>

<file path=xl/comments4.xml><?xml version="1.0" encoding="utf-8"?>
<comments xmlns="http://schemas.openxmlformats.org/spreadsheetml/2006/main">
  <authors>
    <author>תומר חדד</author>
  </authors>
  <commentList>
    <comment ref="A22" authorId="0">
      <text>
        <r>
          <rPr>
            <b/>
            <sz val="9"/>
            <color indexed="81"/>
            <rFont val="Tahoma"/>
            <family val="2"/>
          </rPr>
          <t>אירועים חד"פ מנויים ועובדים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 xml:space="preserve">חלק יחסי של הקאנטרי במכלול העלות </t>
        </r>
      </text>
    </comment>
  </commentList>
</comments>
</file>

<file path=xl/comments5.xml><?xml version="1.0" encoding="utf-8"?>
<comments xmlns="http://schemas.openxmlformats.org/spreadsheetml/2006/main">
  <authors>
    <author>תומר חדד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אירועים חד"פ מנויים ועובדים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 xml:space="preserve">חלק יחסי של הקאנטרי במכלול העלות </t>
        </r>
      </text>
    </comment>
  </commentList>
</comments>
</file>

<file path=xl/comments6.xml><?xml version="1.0" encoding="utf-8"?>
<comments xmlns="http://schemas.openxmlformats.org/spreadsheetml/2006/main">
  <authors>
    <author>תומר חדד</author>
  </authors>
  <commentList>
    <comment ref="A27" authorId="0">
      <text>
        <r>
          <rPr>
            <b/>
            <sz val="9"/>
            <color indexed="81"/>
            <rFont val="Tahoma"/>
            <family val="2"/>
          </rPr>
          <t>אירועים חד"פ מנויים ועובדים</t>
        </r>
      </text>
    </comment>
    <comment ref="A34" authorId="0">
      <text>
        <r>
          <rPr>
            <b/>
            <sz val="9"/>
            <color indexed="81"/>
            <rFont val="Tahoma"/>
            <family val="2"/>
          </rPr>
          <t xml:space="preserve">חלק יחסי של הקאנטרי במכלול העלות </t>
        </r>
      </text>
    </comment>
  </commentList>
</comments>
</file>

<file path=xl/sharedStrings.xml><?xml version="1.0" encoding="utf-8"?>
<sst xmlns="http://schemas.openxmlformats.org/spreadsheetml/2006/main" count="712" uniqueCount="303">
  <si>
    <t>סה"כ הכנסות</t>
  </si>
  <si>
    <t>סה"כ הוצאות</t>
  </si>
  <si>
    <t>קאנטרי קלאב</t>
  </si>
  <si>
    <t>מתקני פרסום</t>
  </si>
  <si>
    <t>שוק עירוני</t>
  </si>
  <si>
    <t>נכסים מניבים</t>
  </si>
  <si>
    <t>מרכז יזמות ברוש שלב ב'</t>
  </si>
  <si>
    <t>מתחם התחנה</t>
  </si>
  <si>
    <t>שכר עובדים</t>
  </si>
  <si>
    <t>שכר מדריכים</t>
  </si>
  <si>
    <t>שמירה ואבטחה</t>
  </si>
  <si>
    <t>ניקיון</t>
  </si>
  <si>
    <t>חשמל</t>
  </si>
  <si>
    <t>מים</t>
  </si>
  <si>
    <t>ארנונה</t>
  </si>
  <si>
    <t>חומרי ניקיון</t>
  </si>
  <si>
    <t>גז</t>
  </si>
  <si>
    <t>משרדיות וכיבודים</t>
  </si>
  <si>
    <t>אחזקה</t>
  </si>
  <si>
    <t>מחשוב</t>
  </si>
  <si>
    <t>פרסום</t>
  </si>
  <si>
    <t>גינון</t>
  </si>
  <si>
    <t xml:space="preserve">אירועים </t>
  </si>
  <si>
    <t>מפעילים</t>
  </si>
  <si>
    <t>אלי לסרי</t>
  </si>
  <si>
    <t>חוסי חבשי</t>
  </si>
  <si>
    <t>מצילים</t>
  </si>
  <si>
    <t>הייב ספא</t>
  </si>
  <si>
    <t>כפיר גורנו</t>
  </si>
  <si>
    <t>חדר כושר</t>
  </si>
  <si>
    <t>סטוקול רומן</t>
  </si>
  <si>
    <t>קבלה</t>
  </si>
  <si>
    <t>נחמה איתן</t>
  </si>
  <si>
    <t>סימה אוחנה</t>
  </si>
  <si>
    <t>מדריכים</t>
  </si>
  <si>
    <t>עופר מור</t>
  </si>
  <si>
    <t>שמעון אלבז</t>
  </si>
  <si>
    <t>אלמקייס חנן</t>
  </si>
  <si>
    <t>אביבית אדרי</t>
  </si>
  <si>
    <t>בן עטיה</t>
  </si>
  <si>
    <t>מתן נאור</t>
  </si>
  <si>
    <t>דימה סמנוברסקי</t>
  </si>
  <si>
    <t>הנהלה</t>
  </si>
  <si>
    <t>פילו אברהם</t>
  </si>
  <si>
    <t>ניר חמי</t>
  </si>
  <si>
    <t>גריגוביץ ג'ורג'</t>
  </si>
  <si>
    <t>עמאר זועבי</t>
  </si>
  <si>
    <t>שי שלו</t>
  </si>
  <si>
    <t xml:space="preserve">העסקת עובדים </t>
  </si>
  <si>
    <t>בריכת עפולה עלית</t>
  </si>
  <si>
    <t>איברהים נג'אר</t>
  </si>
  <si>
    <t>גיא איילת</t>
  </si>
  <si>
    <t>מימרן יוהד</t>
  </si>
  <si>
    <t>מטלון נמרוד</t>
  </si>
  <si>
    <t>שרעבי נטלי</t>
  </si>
  <si>
    <t>מחלקה</t>
  </si>
  <si>
    <t>שם העובד</t>
  </si>
  <si>
    <t>תקנים</t>
  </si>
  <si>
    <t>שבועי</t>
  </si>
  <si>
    <t>חודשי</t>
  </si>
  <si>
    <t>שנתי</t>
  </si>
  <si>
    <t>תקציב תקן חודשי</t>
  </si>
  <si>
    <t>תעריף שכר ממוצע</t>
  </si>
  <si>
    <t xml:space="preserve">ינואר </t>
  </si>
  <si>
    <t>פברואר</t>
  </si>
  <si>
    <t>מרץ</t>
  </si>
  <si>
    <t>אפריל</t>
  </si>
  <si>
    <t>מאי</t>
  </si>
  <si>
    <t>יוני</t>
  </si>
  <si>
    <t>יולי</t>
  </si>
  <si>
    <t>אוגוסט</t>
  </si>
  <si>
    <t>ספטמבר</t>
  </si>
  <si>
    <t>אוקטובר</t>
  </si>
  <si>
    <t>נובמבר</t>
  </si>
  <si>
    <t>דצמבר</t>
  </si>
  <si>
    <t>סיכומים</t>
  </si>
  <si>
    <t>הסברים:</t>
  </si>
  <si>
    <t>לגבי מפעילים, מצילים ומדריכי כושר. נלקחו בחשבון שעות פעילות הקאנטרי למעט שעות עבודות הניקיון בימי א' עד 16:00. מצילים ומפעלילם נלקח בחשבון כבכל ימי הפעילות משעה  5:15 ועד 22:00.</t>
  </si>
  <si>
    <t>לבעלי תפקידים אלה, אין מה לחפש לפני 5:15 וגם לא אחרי 22:00 שאין פעילות בבריכה. לגבי חדר כושר, נלקחה בחשבון פעילות בכל הימים כמו מפעילם / מצילים, למעט בימי ראשון, משעה 15:00 בלבד ! ועד 22:00</t>
  </si>
  <si>
    <t>ביתר הימים נלקח בחשבון כי בשעות השיא ישנה חפיפה של 3 שעות בין שני מדריכים.</t>
  </si>
  <si>
    <t xml:space="preserve">עובדי ניקיון, נלקח בחשבון בכל שעות הפעילות לרבות ימי ראשון, במכפלה תקן ממוצע של 2.5 עובדים למשמרת. אני חושב שיש להגדיר תקן לפי ב 7/8 בבוקר מתחילים 2 עובדים [גבר / אישה] ובשעה 15:00 / 16:00 יש מגיעה תגבורת </t>
  </si>
  <si>
    <t>של עוד עובד/ת עד 20:00 ככה בשעות השיא יש 3 עובדים.</t>
  </si>
  <si>
    <t>קבלה ואחזקה, אינם קשורים לפתיחה וסגירה ולכן חושבו לפי תקן שעות לפי שעות בפעול. קבלה 8:00 -21:00 ובימי שישי שבת בהתאמה. אחזקה, 5 ימים בשבוע 9 שעות ליום</t>
  </si>
  <si>
    <t>הנהלה לפי תקן של עד 200 שעות חודשיות.</t>
  </si>
  <si>
    <t>הערות ליישום:</t>
  </si>
  <si>
    <t>1. אין צורך בעובד קבלה בימי ראשון עד שעה 15:00</t>
  </si>
  <si>
    <t>2. רומן חד"כ - אין תחילת עבודה לפני שעה 15:00 בימי א' -אין אישור תקן לכך ! לא ישולם שכר</t>
  </si>
  <si>
    <t xml:space="preserve">3. חל איסור מוחלט על כולם לעבוד מעל 6 ימים בשבוע כולל הנהלה . </t>
  </si>
  <si>
    <t>תחשיב שעות שאש</t>
  </si>
  <si>
    <t>יום א</t>
  </si>
  <si>
    <t>יום ב</t>
  </si>
  <si>
    <t>יום ג</t>
  </si>
  <si>
    <t>יום ד</t>
  </si>
  <si>
    <t>יום ה</t>
  </si>
  <si>
    <t>יום ו</t>
  </si>
  <si>
    <t>יום ש</t>
  </si>
  <si>
    <t>רגיל</t>
  </si>
  <si>
    <t>שבת</t>
  </si>
  <si>
    <t>תעריף רגיל</t>
  </si>
  <si>
    <t>תעריף שבת</t>
  </si>
  <si>
    <t>שבוע</t>
  </si>
  <si>
    <t>חודש</t>
  </si>
  <si>
    <t>משפטיות / פיצויי תביעה</t>
  </si>
  <si>
    <t>הכנסות ממנויים</t>
  </si>
  <si>
    <t>הכנסות ממכירות חד-פעמיות</t>
  </si>
  <si>
    <t>הכנסות מבריכה חיצונית</t>
  </si>
  <si>
    <t>הכנסה משכירויות</t>
  </si>
  <si>
    <t>הכנסות מאירועים</t>
  </si>
  <si>
    <t>תקשורת [טלפון, אינטרנט, טלויזיה, הודעות]</t>
  </si>
  <si>
    <t>בריכה עפולה עילית -הכנסות</t>
  </si>
  <si>
    <t>בריכה עפולה עילית - הוצאות</t>
  </si>
  <si>
    <t>קאנטרי קלאב -הכנסות</t>
  </si>
  <si>
    <t>קאנטרי קלאב -הוצאות</t>
  </si>
  <si>
    <t>סה"כ 2017</t>
  </si>
  <si>
    <t>סה"כ הכנסות בניכוי הוצאות</t>
  </si>
  <si>
    <t>אין חיוב ארנונה עבור בריכת עפולה עילית</t>
  </si>
  <si>
    <t>אין חיוב בגין חשמל</t>
  </si>
  <si>
    <t>הנהלה וכלליות - הוצאות</t>
  </si>
  <si>
    <t>אחזקת רכב</t>
  </si>
  <si>
    <t>משפטיות</t>
  </si>
  <si>
    <t>הנהלת חשבונות וביקורת</t>
  </si>
  <si>
    <t>שכ"ד</t>
  </si>
  <si>
    <t>ניקיון משרד</t>
  </si>
  <si>
    <t>אגרות ודמי חבר</t>
  </si>
  <si>
    <t>תקשורת [טלפון, פלאפון]</t>
  </si>
  <si>
    <t>הפרשה לחובות מסופקים</t>
  </si>
  <si>
    <t>כיבודים, שי ומתנות</t>
  </si>
  <si>
    <t xml:space="preserve">משרדיות  ואחזקת מחשב </t>
  </si>
  <si>
    <t>קורסים והשתלמויות</t>
  </si>
  <si>
    <t>דואר, משלוחים, הדפסות וצילומים</t>
  </si>
  <si>
    <t>הנהלה וכלליות</t>
  </si>
  <si>
    <t>מזנון בריכה עפולה עילית -הכנסות</t>
  </si>
  <si>
    <t>מזנון בריכה עפולה עילית - הוצאות</t>
  </si>
  <si>
    <t>הכנסות מזנון</t>
  </si>
  <si>
    <t>אחזקה וציוד עזר</t>
  </si>
  <si>
    <t>קניות מזון ומשקאות</t>
  </si>
  <si>
    <t>מזנון בריכה עפולה עילית</t>
  </si>
  <si>
    <t>מזנון בריכה קאנטרי קלאב</t>
  </si>
  <si>
    <t>מזנון בריכה קאנטרי קלאב -הכנסות</t>
  </si>
  <si>
    <t>מזנון בריכה קאנטרי קלאב - הוצאות</t>
  </si>
  <si>
    <t>שכירויות -הכנסות</t>
  </si>
  <si>
    <t>הכנסות שוק מקורה</t>
  </si>
  <si>
    <t>הכנסות ממתן זכויות פרסום</t>
  </si>
  <si>
    <t>שכירויות -הוצאות</t>
  </si>
  <si>
    <t>הוצאות שוק מקורה</t>
  </si>
  <si>
    <t>הוצאות ממתן זכויות פרסום</t>
  </si>
  <si>
    <t>הכנסות שכירות מתחם התחנה</t>
  </si>
  <si>
    <t>הוצאות בגין שכירות מתחם התחנה</t>
  </si>
  <si>
    <t>פרטנר</t>
  </si>
  <si>
    <t>הכנסה משכירויות:</t>
  </si>
  <si>
    <t>סה"כ העכנסות משכירויות</t>
  </si>
  <si>
    <t>וקנין שרון אתי</t>
  </si>
  <si>
    <t>אשד גתוע</t>
  </si>
  <si>
    <t>בן חמו רוזה</t>
  </si>
  <si>
    <t>גלעד ציפורה</t>
  </si>
  <si>
    <t>יוסי גוזלן</t>
  </si>
  <si>
    <t>אמיר סילקו</t>
  </si>
  <si>
    <t>איזו לייזר אלקטרוני</t>
  </si>
  <si>
    <t>הוט טלקום</t>
  </si>
  <si>
    <t>ביכורי עדן - גבריאלי יקיר</t>
  </si>
  <si>
    <t>פוינטר טלוקיישן</t>
  </si>
  <si>
    <t>הוצאות בגין שכירויות - עמלה לעירייה 60%</t>
  </si>
  <si>
    <t>שע"ח דולר</t>
  </si>
  <si>
    <t>רחל איפרגן - בונז'ור</t>
  </si>
  <si>
    <t>סכום החיוב איננו תואם את החוזה</t>
  </si>
  <si>
    <t>פבל יונה</t>
  </si>
  <si>
    <t xml:space="preserve">וקנין שרון </t>
  </si>
  <si>
    <t>הכנסה ממתן זכויות פרסום</t>
  </si>
  <si>
    <t>נגריית קטלן - קטלן יוסף</t>
  </si>
  <si>
    <t>דגל תקשורת - שלטי דגל</t>
  </si>
  <si>
    <t>לפי כמות של 115 שלטי דגל</t>
  </si>
  <si>
    <t>מרקעים שלטי חוצות</t>
  </si>
  <si>
    <t>מאיר בורוס - מסך נייד</t>
  </si>
  <si>
    <t>מירב לבנון - שלטי הכוונה</t>
  </si>
  <si>
    <t>מקסימדיה - שלטי בילבורד</t>
  </si>
  <si>
    <t>מקסימדיה - גשר בי"ח</t>
  </si>
  <si>
    <t>טוניאן ארז חיים (HTV)</t>
  </si>
  <si>
    <t>פסחוב</t>
  </si>
  <si>
    <t>מחצית מהשכר של עובדי המזנונים שנרשם בכרטסת בריכת עפולה עילית</t>
  </si>
  <si>
    <t>הכנסות ממכרזים</t>
  </si>
  <si>
    <t>הוצאות מכרזים</t>
  </si>
  <si>
    <t>הכנסות שכר עבודה מנהל הנדסה</t>
  </si>
  <si>
    <t>הוצאות שכר מנהל הנדסה</t>
  </si>
  <si>
    <t>הכנסות שכר טיפת חלב</t>
  </si>
  <si>
    <t>הוצאות שכר טיפת חלב</t>
  </si>
  <si>
    <t>הכנסות שכר חינוך</t>
  </si>
  <si>
    <t>הוצאות שכר חינוך</t>
  </si>
  <si>
    <t>הכנסות שכר מחלקת תפעול</t>
  </si>
  <si>
    <t>הוצאות שכר מחלקת תפעול</t>
  </si>
  <si>
    <t>הכנסות שכר לשכת מנכ"ל העירייה</t>
  </si>
  <si>
    <t>הוצאות שכר לשכת מנכ"ל העירייה</t>
  </si>
  <si>
    <t>אחוז 2017</t>
  </si>
  <si>
    <t>סה"כ</t>
  </si>
  <si>
    <t>הוצאות בגין השכרת  מרכז חדשנות קאנטרי קלאב - שלב א</t>
  </si>
  <si>
    <t>הכנסה שכירות מרכז חדשנות לקאנטרי קלאב - שלב א</t>
  </si>
  <si>
    <t>הוצאות בגין השכרת  מרכז חדשנות קאנטרי קלאב - שלב ב</t>
  </si>
  <si>
    <t>הכנסה שכירות מרכז חדשנות לקאנטרי קלאב - שלב ב</t>
  </si>
  <si>
    <t>מכרזים</t>
  </si>
  <si>
    <t>השתתפות רמ"י בעלויות מנהלת הסכמי הגג</t>
  </si>
  <si>
    <t>גידול בשכר עקב עליה בשכר המינימום</t>
  </si>
  <si>
    <t>דמי חכירה</t>
  </si>
  <si>
    <t>אגרות</t>
  </si>
  <si>
    <t>משרדיות, ביגוד,קורסים וכיבודים</t>
  </si>
  <si>
    <t>מחצית מהשכר של עובדי המזנונים שנרשם במקור בכרטסת בריכת עפולה עילית מועמס על מזנון הקאנטרי</t>
  </si>
  <si>
    <t>חממה טכנולוגית - מרכז חדשנות -הכנסות</t>
  </si>
  <si>
    <t>חממה טכנולוגית - מרכז חדשנות -הוצאות</t>
  </si>
  <si>
    <t>אחרות</t>
  </si>
  <si>
    <t>הכנסות</t>
  </si>
  <si>
    <t>רווח (הפסד) גולמי</t>
  </si>
  <si>
    <t>הוצאות הנהלה וכלליות</t>
  </si>
  <si>
    <t>רווח (הפסד) תפעולי</t>
  </si>
  <si>
    <t>תקציב</t>
  </si>
  <si>
    <t>דוח כספי</t>
  </si>
  <si>
    <t>העסקת עובדים -הכנסות</t>
  </si>
  <si>
    <t>העסקת עובדים -הוצאות</t>
  </si>
  <si>
    <t>הפרש</t>
  </si>
  <si>
    <t>שושן אלאנורה</t>
  </si>
  <si>
    <t>מרום נהיגה</t>
  </si>
  <si>
    <t>רווח (הפסד)</t>
  </si>
  <si>
    <t xml:space="preserve">סעיף / מגזר פעילות </t>
  </si>
  <si>
    <t>עלות ההכנסות והשירותים (כולל פחת)</t>
  </si>
  <si>
    <t>הוצאות פחת</t>
  </si>
  <si>
    <t xml:space="preserve"> דוח כספי</t>
  </si>
  <si>
    <t>(*) 2016</t>
  </si>
  <si>
    <t>(*) 2015</t>
  </si>
  <si>
    <t>(*)בשנים 2016 ו-2015 כולל העסקת עובדי החינוך</t>
  </si>
  <si>
    <t>הכנסות בניטרול הכנסות עובדי חינוך</t>
  </si>
  <si>
    <t>הוצאות בניטרול הוצ' העסקת עובדי חינוך</t>
  </si>
  <si>
    <t>רווח (הפסד) גולמי בניטרול עובדי חינוך</t>
  </si>
  <si>
    <t>סה"כ בניטרול פחת</t>
  </si>
  <si>
    <t>דוח רווח והפסד - תקציב 2018</t>
  </si>
  <si>
    <t>החברה הכלכלית לפיתוח עפולה - תקציב 2018</t>
  </si>
  <si>
    <t>הפרש 2018&lt;&gt;2017</t>
  </si>
  <si>
    <t>סה"כ 2018</t>
  </si>
  <si>
    <t>אחוז 2018</t>
  </si>
  <si>
    <t>בכל מקרה, כל התקנים הוכפלו במקדמי בטחון של 8% -10% חריגות, חפיפה בין עובדים וכד'.</t>
  </si>
  <si>
    <t>ברוש - מרכז יזמות וחדשנות -הכנסות</t>
  </si>
  <si>
    <t>הכנסה שכירות מרכז יזמות וחדשנות ברוש - 
שלב א (קומה3)</t>
  </si>
  <si>
    <t>הכנסה שכירות מרכז יזמות וחדשנות ברוש - 
שלב ב (אולם ספורט)</t>
  </si>
  <si>
    <t>בשנת 2018 תחילת תשלום השכירות ב-4/18 (לאחר סיום 4 חודשי גרייס)</t>
  </si>
  <si>
    <t>ברוש - מרכז יזמות וחדשנות -הוצאות</t>
  </si>
  <si>
    <t>הוצאות בגין השכרת  מרכז יזמות וחדשנות ברוש - שלב א (קומה3) - ארנונה</t>
  </si>
  <si>
    <t>הוצאות בגין השכרת  מרכז יזמות וחדשנות ברוש - שלב ב (אולם ספורט)</t>
  </si>
  <si>
    <t>מרכז יזמות וחדשנות ברוש שלב א'</t>
  </si>
  <si>
    <t>גידול בשכר עקב עליה בשכר המינימום + תוספת משרת מזכירה</t>
  </si>
  <si>
    <t>עליית תעריף הארנונה בשיעור 2.2%</t>
  </si>
  <si>
    <t>שכירות שטח מדשאה ומגרש חנייה [כרסנטי]</t>
  </si>
  <si>
    <t xml:space="preserve"> חוזה שירות ע"ס 4,000 ₪ + דלק לציוד גינון</t>
  </si>
  <si>
    <t>בשנת 2018 לפי צפי פרסום של 8 מכרזים</t>
  </si>
  <si>
    <t>מנהלת הסכם הגג -הכנסות</t>
  </si>
  <si>
    <t>מנהלת הסכם הגג -הוצאות</t>
  </si>
  <si>
    <t>חושב לפי שע"ח של 3.5 ₪ ל-$</t>
  </si>
  <si>
    <t>איכלוס חלק של 150 מ"ר החל מ-3/18 לפי תעריף 66 ₪ למ"ר</t>
  </si>
  <si>
    <t>אחזקת מעלית</t>
  </si>
  <si>
    <t>תקשורת וטלפוניה</t>
  </si>
  <si>
    <t>אומדן</t>
  </si>
  <si>
    <t>מרכז חדשנות שלב א' + ב' קאנטרי</t>
  </si>
  <si>
    <t>מנהלת הסכם הגג</t>
  </si>
  <si>
    <t>בהנחה של מכרז יעוץ משפטי חדש בגובה 30,000 ₪ - 40% לפעילות השוטפת של החכ"ל ו-60% למנהלת הסכם הגג</t>
  </si>
  <si>
    <t>בהנחה שדמי השכירות ללא שינוי גם במיקום חליפי</t>
  </si>
  <si>
    <t>ביטוח</t>
  </si>
  <si>
    <t>גידול עקב תוספת רכב מנהל כספים החל מחודש 7/17</t>
  </si>
  <si>
    <t>שרותי יעוץ וליווי מרכז יזמות וחדשנות</t>
  </si>
  <si>
    <t>הכנסות פעילות שוטפת רמ"י</t>
  </si>
  <si>
    <t>גידול בשכר עקב איוש תקני מנהלת הסכם הגג במשך שנה מלאה בשנת 2018</t>
  </si>
  <si>
    <t>אחזקת שני רכבים במשך שנה מלאה בשנת 2018</t>
  </si>
  <si>
    <t>פעילות עירייה במסגרת הסכם הגג</t>
  </si>
  <si>
    <t xml:space="preserve">  עלות העסקת מנהל כספים 50% + עלות העסקת מנהח"ש ורכש 30% + 60%-50% מההוצאות</t>
  </si>
  <si>
    <t>מתחם תחנת הרכבת -הכנסות</t>
  </si>
  <si>
    <t>מתחם תחנת הרכבת -הוצאות</t>
  </si>
  <si>
    <t>הכנסות שכירות יבילים</t>
  </si>
  <si>
    <t>דמי ניהול מבנים יבילים</t>
  </si>
  <si>
    <t>הכנסות שכירות מבני אבן התחנה</t>
  </si>
  <si>
    <t>בהנחה ש-20 יבילים יניבו הכנסות שכירות החל מחודש 8/18</t>
  </si>
  <si>
    <t>בהנחה שמבני האבן יניבו הכנסות שכירות החל מחודש 8/18. לפי שטח כולל של 400 מ"ר</t>
  </si>
  <si>
    <t>דמי ניהול מבני אבן התחנה</t>
  </si>
  <si>
    <t>הכנסות מאירועים וכנסים (אוהל)</t>
  </si>
  <si>
    <t>הכנסות שוק איכרים</t>
  </si>
  <si>
    <t>הכנסות אחרות (פרסום, וכו')</t>
  </si>
  <si>
    <t>השכרת ציוד</t>
  </si>
  <si>
    <t>הוצאות שכר לשכת ראש העיר / סגן ראש העיר</t>
  </si>
  <si>
    <t>הכנסות שכר לשכת ראש העיר / סגן ראש העיר</t>
  </si>
  <si>
    <t>דגל תקשורת - שלטי הכוונה</t>
  </si>
  <si>
    <t>לפי כמות של 80 שלטי הכוונה</t>
  </si>
  <si>
    <t>לא נכלל בתקציב 2018 - בשל חוסר וודאות לגבי מועד פתיחת מתחם התחנה ועלויות התפעול</t>
  </si>
  <si>
    <t>מדד המחירים לצרכן 10/17 (בסיס 1951):</t>
  </si>
  <si>
    <t>לא נכלל בתקציב 2018 - בשל חוסר וודאות לגבי מועד סיום הפרויקט ואיכלוסו</t>
  </si>
  <si>
    <t>רפי פרדו (איזו לייזר אלקטרוני)</t>
  </si>
  <si>
    <t>ניהול פרויקטים</t>
  </si>
  <si>
    <t>לפי 2 שלטים דיגיטליים - שלט בצונת הקאנטרי - לפי 12 חודשים ושלט בכיכר כיבוי אש לפי 10 חודשים</t>
  </si>
  <si>
    <t>הוצאות בגין השכרת  מרכז יזמות וחדשנות ברוש - שלב א (קומה3) - אחזקת מעליות</t>
  </si>
  <si>
    <t>מרכז מורשת</t>
  </si>
  <si>
    <t>שם הפרויקט</t>
  </si>
  <si>
    <t>תקציב הפרויקט</t>
  </si>
  <si>
    <t>הכנסות עמלה מהפרויקט</t>
  </si>
  <si>
    <t>אחוז עמלה אפקטיבי</t>
  </si>
  <si>
    <t>חניון העצמאות</t>
  </si>
  <si>
    <t>בי"ס יהלום - הרחבה - שלב ג'</t>
  </si>
  <si>
    <t>קירוי מגרשי הספורט - בי"ס יהלום + תדהר</t>
  </si>
  <si>
    <t>מבנה הנוער העובד והלומד</t>
  </si>
  <si>
    <t>מבנה הצופים</t>
  </si>
  <si>
    <t>הכנסות אחרות (פרסום, חשמל וכו')</t>
  </si>
  <si>
    <t>הוצאות שונות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</si>
</sst>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 * #,##0_ ;_ * \-#,##0_ ;_ * &quot;-&quot;??_ ;_ @_ "/>
    <numFmt numFmtId="165" formatCode="0.000"/>
    <numFmt numFmtId="166" formatCode="_ * #,##0_ ;_ * \(#,##0\)_ ;_ * &quot;-&quot;??_ ;_ @_ "/>
    <numFmt numFmtId="167" formatCode="0.0%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b/>
      <sz val="9"/>
      <color indexed="81"/>
      <name val="Tahoma"/>
      <family val="2"/>
    </font>
    <font>
      <sz val="11"/>
      <color theme="1"/>
      <name val="Arial"/>
      <family val="2"/>
      <scheme val="minor"/>
    </font>
    <font>
      <sz val="2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auto="1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ashDotDot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DotDot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3" fillId="2" borderId="6" xfId="0" applyFont="1" applyFill="1" applyBorder="1" applyAlignment="1">
      <alignment horizontal="center"/>
    </xf>
    <xf numFmtId="164" fontId="2" fillId="2" borderId="7" xfId="1" applyNumberFormat="1" applyFont="1" applyFill="1" applyBorder="1"/>
    <xf numFmtId="0" fontId="2" fillId="2" borderId="8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4" borderId="0" xfId="0" applyFont="1" applyFill="1" applyAlignment="1">
      <alignment horizontal="center" vertical="center"/>
    </xf>
    <xf numFmtId="164" fontId="2" fillId="2" borderId="9" xfId="1" applyNumberFormat="1" applyFont="1" applyFill="1" applyBorder="1"/>
    <xf numFmtId="164" fontId="2" fillId="2" borderId="10" xfId="1" applyNumberFormat="1" applyFont="1" applyFill="1" applyBorder="1"/>
    <xf numFmtId="164" fontId="2" fillId="2" borderId="2" xfId="1" applyNumberFormat="1" applyFont="1" applyFill="1" applyBorder="1"/>
    <xf numFmtId="164" fontId="2" fillId="0" borderId="0" xfId="0" applyNumberFormat="1" applyFont="1"/>
    <xf numFmtId="0" fontId="0" fillId="5" borderId="1" xfId="0" applyFill="1" applyBorder="1"/>
    <xf numFmtId="164" fontId="0" fillId="5" borderId="1" xfId="1" applyNumberFormat="1" applyFont="1" applyFill="1" applyBorder="1"/>
    <xf numFmtId="164" fontId="0" fillId="5" borderId="3" xfId="1" applyNumberFormat="1" applyFont="1" applyFill="1" applyBorder="1"/>
    <xf numFmtId="0" fontId="0" fillId="0" borderId="1" xfId="0" applyFill="1" applyBorder="1"/>
    <xf numFmtId="164" fontId="0" fillId="6" borderId="1" xfId="1" applyNumberFormat="1" applyFont="1" applyFill="1" applyBorder="1"/>
    <xf numFmtId="0" fontId="0" fillId="0" borderId="4" xfId="0" applyFill="1" applyBorder="1"/>
    <xf numFmtId="164" fontId="0" fillId="5" borderId="4" xfId="1" applyNumberFormat="1" applyFont="1" applyFill="1" applyBorder="1"/>
    <xf numFmtId="164" fontId="0" fillId="5" borderId="5" xfId="1" applyNumberFormat="1" applyFont="1" applyFill="1" applyBorder="1"/>
    <xf numFmtId="0" fontId="0" fillId="0" borderId="0" xfId="0" applyFill="1"/>
    <xf numFmtId="0" fontId="2" fillId="7" borderId="8" xfId="0" applyFont="1" applyFill="1" applyBorder="1"/>
    <xf numFmtId="164" fontId="2" fillId="7" borderId="9" xfId="1" applyNumberFormat="1" applyFont="1" applyFill="1" applyBorder="1"/>
    <xf numFmtId="164" fontId="2" fillId="7" borderId="10" xfId="1" applyNumberFormat="1" applyFont="1" applyFill="1" applyBorder="1"/>
    <xf numFmtId="164" fontId="2" fillId="7" borderId="2" xfId="1" applyNumberFormat="1" applyFont="1" applyFill="1" applyBorder="1"/>
    <xf numFmtId="164" fontId="0" fillId="8" borderId="1" xfId="1" applyNumberFormat="1" applyFont="1" applyFill="1" applyBorder="1"/>
    <xf numFmtId="164" fontId="0" fillId="0" borderId="0" xfId="1" applyNumberFormat="1" applyFont="1"/>
    <xf numFmtId="164" fontId="0" fillId="0" borderId="0" xfId="0" applyNumberFormat="1"/>
    <xf numFmtId="0" fontId="2" fillId="0" borderId="2" xfId="0" applyFont="1" applyBorder="1" applyAlignment="1">
      <alignment horizontal="center"/>
    </xf>
    <xf numFmtId="0" fontId="0" fillId="0" borderId="1" xfId="0" applyFill="1" applyBorder="1" applyAlignment="1">
      <alignment wrapText="1"/>
    </xf>
    <xf numFmtId="164" fontId="0" fillId="9" borderId="1" xfId="1" applyNumberFormat="1" applyFont="1" applyFill="1" applyBorder="1"/>
    <xf numFmtId="164" fontId="2" fillId="9" borderId="7" xfId="1" applyNumberFormat="1" applyFont="1" applyFill="1" applyBorder="1"/>
    <xf numFmtId="0" fontId="3" fillId="0" borderId="0" xfId="0" applyFont="1"/>
    <xf numFmtId="0" fontId="2" fillId="0" borderId="11" xfId="0" applyFont="1" applyBorder="1"/>
    <xf numFmtId="0" fontId="2" fillId="0" borderId="13" xfId="0" applyFont="1" applyBorder="1"/>
    <xf numFmtId="0" fontId="0" fillId="0" borderId="0" xfId="0" applyFill="1" applyBorder="1" applyAlignment="1">
      <alignment wrapText="1"/>
    </xf>
    <xf numFmtId="164" fontId="0" fillId="0" borderId="0" xfId="1" applyNumberFormat="1" applyFont="1" applyFill="1" applyBorder="1"/>
    <xf numFmtId="164" fontId="2" fillId="0" borderId="0" xfId="1" applyNumberFormat="1" applyFont="1" applyFill="1" applyBorder="1"/>
    <xf numFmtId="0" fontId="2" fillId="0" borderId="0" xfId="0" applyFont="1" applyFill="1"/>
    <xf numFmtId="0" fontId="0" fillId="6" borderId="1" xfId="0" applyFill="1" applyBorder="1" applyAlignment="1">
      <alignment wrapText="1"/>
    </xf>
    <xf numFmtId="0" fontId="0" fillId="0" borderId="15" xfId="0" applyFill="1" applyBorder="1"/>
    <xf numFmtId="0" fontId="5" fillId="0" borderId="0" xfId="0" applyFont="1"/>
    <xf numFmtId="165" fontId="0" fillId="0" borderId="0" xfId="0" applyNumberFormat="1"/>
    <xf numFmtId="10" fontId="0" fillId="0" borderId="0" xfId="2" applyNumberFormat="1" applyFont="1"/>
    <xf numFmtId="0" fontId="0" fillId="0" borderId="15" xfId="0" applyBorder="1"/>
    <xf numFmtId="164" fontId="0" fillId="5" borderId="16" xfId="1" applyNumberFormat="1" applyFont="1" applyFill="1" applyBorder="1"/>
    <xf numFmtId="164" fontId="0" fillId="0" borderId="1" xfId="1" applyNumberFormat="1" applyFont="1" applyFill="1" applyBorder="1"/>
    <xf numFmtId="164" fontId="0" fillId="0" borderId="3" xfId="1" applyNumberFormat="1" applyFont="1" applyFill="1" applyBorder="1"/>
    <xf numFmtId="164" fontId="0" fillId="0" borderId="4" xfId="1" applyNumberFormat="1" applyFont="1" applyFill="1" applyBorder="1"/>
    <xf numFmtId="164" fontId="0" fillId="0" borderId="5" xfId="1" applyNumberFormat="1" applyFont="1" applyFill="1" applyBorder="1"/>
    <xf numFmtId="166" fontId="0" fillId="0" borderId="0" xfId="1" applyNumberFormat="1" applyFont="1"/>
    <xf numFmtId="0" fontId="6" fillId="0" borderId="0" xfId="0" applyFont="1"/>
    <xf numFmtId="0" fontId="7" fillId="0" borderId="0" xfId="0" applyFont="1"/>
    <xf numFmtId="0" fontId="0" fillId="0" borderId="19" xfId="0" applyBorder="1"/>
    <xf numFmtId="0" fontId="0" fillId="0" borderId="20" xfId="0" applyBorder="1"/>
    <xf numFmtId="0" fontId="2" fillId="0" borderId="28" xfId="0" applyFont="1" applyBorder="1"/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4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166" fontId="0" fillId="0" borderId="35" xfId="0" applyNumberFormat="1" applyBorder="1"/>
    <xf numFmtId="166" fontId="0" fillId="0" borderId="1" xfId="0" applyNumberFormat="1" applyBorder="1"/>
    <xf numFmtId="166" fontId="0" fillId="0" borderId="34" xfId="0" applyNumberFormat="1" applyBorder="1"/>
    <xf numFmtId="166" fontId="0" fillId="0" borderId="36" xfId="0" applyNumberFormat="1" applyBorder="1"/>
    <xf numFmtId="166" fontId="0" fillId="0" borderId="4" xfId="0" applyNumberFormat="1" applyBorder="1"/>
    <xf numFmtId="166" fontId="0" fillId="0" borderId="37" xfId="0" applyNumberFormat="1" applyBorder="1"/>
    <xf numFmtId="166" fontId="2" fillId="0" borderId="38" xfId="0" applyNumberFormat="1" applyFont="1" applyBorder="1"/>
    <xf numFmtId="166" fontId="2" fillId="0" borderId="23" xfId="0" applyNumberFormat="1" applyFont="1" applyBorder="1"/>
    <xf numFmtId="166" fontId="2" fillId="0" borderId="39" xfId="0" applyNumberFormat="1" applyFont="1" applyBorder="1"/>
    <xf numFmtId="0" fontId="2" fillId="10" borderId="42" xfId="0" applyFont="1" applyFill="1" applyBorder="1" applyAlignment="1">
      <alignment horizontal="center"/>
    </xf>
    <xf numFmtId="0" fontId="2" fillId="10" borderId="42" xfId="0" applyFont="1" applyFill="1" applyBorder="1" applyAlignment="1">
      <alignment horizontal="center" wrapText="1"/>
    </xf>
    <xf numFmtId="0" fontId="2" fillId="10" borderId="43" xfId="0" applyFont="1" applyFill="1" applyBorder="1" applyAlignment="1">
      <alignment horizontal="center"/>
    </xf>
    <xf numFmtId="0" fontId="0" fillId="0" borderId="42" xfId="0" applyBorder="1"/>
    <xf numFmtId="166" fontId="0" fillId="0" borderId="20" xfId="1" applyNumberFormat="1" applyFont="1" applyBorder="1"/>
    <xf numFmtId="166" fontId="0" fillId="0" borderId="20" xfId="1" applyNumberFormat="1" applyFont="1" applyFill="1" applyBorder="1"/>
    <xf numFmtId="0" fontId="0" fillId="0" borderId="20" xfId="0" applyFill="1" applyBorder="1"/>
    <xf numFmtId="166" fontId="2" fillId="0" borderId="44" xfId="1" applyNumberFormat="1" applyFont="1" applyBorder="1"/>
    <xf numFmtId="166" fontId="2" fillId="0" borderId="44" xfId="1" applyNumberFormat="1" applyFont="1" applyFill="1" applyBorder="1"/>
    <xf numFmtId="0" fontId="0" fillId="0" borderId="22" xfId="0" applyBorder="1"/>
    <xf numFmtId="0" fontId="2" fillId="0" borderId="20" xfId="0" applyFont="1" applyBorder="1"/>
    <xf numFmtId="166" fontId="2" fillId="0" borderId="21" xfId="1" applyNumberFormat="1" applyFont="1" applyBorder="1"/>
    <xf numFmtId="166" fontId="0" fillId="0" borderId="1" xfId="1" applyNumberFormat="1" applyFont="1" applyBorder="1"/>
    <xf numFmtId="166" fontId="0" fillId="0" borderId="4" xfId="1" applyNumberFormat="1" applyFont="1" applyBorder="1"/>
    <xf numFmtId="166" fontId="0" fillId="0" borderId="45" xfId="1" applyNumberFormat="1" applyFont="1" applyBorder="1"/>
    <xf numFmtId="0" fontId="0" fillId="0" borderId="1" xfId="0" applyBorder="1" applyAlignment="1">
      <alignment horizontal="right" readingOrder="2"/>
    </xf>
    <xf numFmtId="166" fontId="0" fillId="0" borderId="16" xfId="1" applyNumberFormat="1" applyFont="1" applyBorder="1"/>
    <xf numFmtId="164" fontId="2" fillId="5" borderId="7" xfId="1" applyNumberFormat="1" applyFont="1" applyFill="1" applyBorder="1"/>
    <xf numFmtId="0" fontId="0" fillId="5" borderId="0" xfId="0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164" fontId="0" fillId="5" borderId="0" xfId="1" applyNumberFormat="1" applyFont="1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2" fillId="6" borderId="7" xfId="1" applyNumberFormat="1" applyFont="1" applyFill="1" applyBorder="1"/>
    <xf numFmtId="164" fontId="0" fillId="6" borderId="3" xfId="1" applyNumberFormat="1" applyFont="1" applyFill="1" applyBorder="1"/>
    <xf numFmtId="0" fontId="0" fillId="6" borderId="0" xfId="0" applyFill="1"/>
    <xf numFmtId="164" fontId="0" fillId="0" borderId="16" xfId="1" applyNumberFormat="1" applyFont="1" applyFill="1" applyBorder="1"/>
    <xf numFmtId="164" fontId="2" fillId="0" borderId="7" xfId="1" applyNumberFormat="1" applyFont="1" applyFill="1" applyBorder="1"/>
    <xf numFmtId="166" fontId="0" fillId="6" borderId="34" xfId="0" applyNumberFormat="1" applyFill="1" applyBorder="1"/>
    <xf numFmtId="166" fontId="0" fillId="6" borderId="1" xfId="0" applyNumberFormat="1" applyFill="1" applyBorder="1"/>
    <xf numFmtId="0" fontId="0" fillId="8" borderId="0" xfId="0" applyFill="1"/>
    <xf numFmtId="10" fontId="0" fillId="6" borderId="0" xfId="2" applyNumberFormat="1" applyFont="1" applyFill="1"/>
    <xf numFmtId="10" fontId="0" fillId="0" borderId="0" xfId="2" applyNumberFormat="1" applyFont="1" applyFill="1"/>
    <xf numFmtId="164" fontId="0" fillId="11" borderId="1" xfId="1" applyNumberFormat="1" applyFont="1" applyFill="1" applyBorder="1"/>
    <xf numFmtId="164" fontId="0" fillId="6" borderId="16" xfId="1" applyNumberFormat="1" applyFont="1" applyFill="1" applyBorder="1"/>
    <xf numFmtId="164" fontId="0" fillId="6" borderId="17" xfId="1" applyNumberFormat="1" applyFont="1" applyFill="1" applyBorder="1"/>
    <xf numFmtId="9" fontId="0" fillId="0" borderId="0" xfId="2" applyFont="1"/>
    <xf numFmtId="164" fontId="2" fillId="8" borderId="7" xfId="1" applyNumberFormat="1" applyFont="1" applyFill="1" applyBorder="1"/>
    <xf numFmtId="164" fontId="0" fillId="6" borderId="4" xfId="1" applyNumberFormat="1" applyFont="1" applyFill="1" applyBorder="1"/>
    <xf numFmtId="164" fontId="0" fillId="6" borderId="5" xfId="1" applyNumberFormat="1" applyFont="1" applyFill="1" applyBorder="1"/>
    <xf numFmtId="0" fontId="0" fillId="12" borderId="1" xfId="0" applyFill="1" applyBorder="1"/>
    <xf numFmtId="0" fontId="0" fillId="6" borderId="0" xfId="0" applyFill="1" applyAlignment="1">
      <alignment horizontal="right"/>
    </xf>
    <xf numFmtId="0" fontId="0" fillId="5" borderId="4" xfId="0" applyFill="1" applyBorder="1"/>
    <xf numFmtId="164" fontId="0" fillId="8" borderId="16" xfId="1" applyNumberFormat="1" applyFont="1" applyFill="1" applyBorder="1"/>
    <xf numFmtId="164" fontId="0" fillId="8" borderId="3" xfId="1" applyNumberFormat="1" applyFont="1" applyFill="1" applyBorder="1"/>
    <xf numFmtId="164" fontId="0" fillId="8" borderId="4" xfId="1" applyNumberFormat="1" applyFont="1" applyFill="1" applyBorder="1"/>
    <xf numFmtId="164" fontId="0" fillId="8" borderId="5" xfId="1" applyNumberFormat="1" applyFont="1" applyFill="1" applyBorder="1"/>
    <xf numFmtId="0" fontId="2" fillId="6" borderId="14" xfId="0" applyFont="1" applyFill="1" applyBorder="1"/>
    <xf numFmtId="166" fontId="0" fillId="0" borderId="34" xfId="0" applyNumberFormat="1" applyFill="1" applyBorder="1"/>
    <xf numFmtId="166" fontId="0" fillId="0" borderId="1" xfId="0" applyNumberFormat="1" applyFill="1" applyBorder="1"/>
    <xf numFmtId="166" fontId="0" fillId="0" borderId="35" xfId="0" applyNumberFormat="1" applyFill="1" applyBorder="1"/>
    <xf numFmtId="0" fontId="2" fillId="6" borderId="12" xfId="0" applyFont="1" applyFill="1" applyBorder="1"/>
    <xf numFmtId="0" fontId="2" fillId="0" borderId="1" xfId="0" applyFont="1" applyBorder="1"/>
    <xf numFmtId="164" fontId="0" fillId="0" borderId="1" xfId="1" applyNumberFormat="1" applyFont="1" applyBorder="1" applyAlignment="1">
      <alignment horizontal="center"/>
    </xf>
    <xf numFmtId="167" fontId="0" fillId="0" borderId="1" xfId="2" applyNumberFormat="1" applyFont="1" applyBorder="1" applyAlignment="1">
      <alignment horizontal="center"/>
    </xf>
    <xf numFmtId="164" fontId="2" fillId="0" borderId="1" xfId="0" applyNumberFormat="1" applyFont="1" applyBorder="1"/>
    <xf numFmtId="0" fontId="2" fillId="6" borderId="1" xfId="0" applyFont="1" applyFill="1" applyBorder="1"/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2" fillId="0" borderId="29" xfId="0" applyFont="1" applyBorder="1" applyAlignment="1">
      <alignment horizontal="center" wrapText="1"/>
    </xf>
    <xf numFmtId="0" fontId="2" fillId="0" borderId="18" xfId="0" applyFont="1" applyBorder="1" applyAlignment="1">
      <alignment horizontal="center"/>
    </xf>
    <xf numFmtId="0" fontId="5" fillId="0" borderId="24" xfId="0" applyFont="1" applyBorder="1" applyAlignment="1"/>
    <xf numFmtId="0" fontId="0" fillId="0" borderId="0" xfId="0" applyAlignment="1">
      <alignment horizontal="right" vertical="center" readingOrder="2"/>
    </xf>
    <xf numFmtId="0" fontId="0" fillId="5" borderId="0" xfId="0" applyFill="1" applyAlignment="1">
      <alignment horizontal="right" vertical="center" readingOrder="2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FFFF"/>
      <color rgb="FFFFFF99"/>
      <color rgb="FFCCFF99"/>
      <color rgb="FFFFFFCC"/>
      <color rgb="FFC6AF86"/>
      <color rgb="FFAAAD9F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28"/>
  <sheetViews>
    <sheetView rightToLeft="1" zoomScaleNormal="100" workbookViewId="0">
      <selection activeCell="A2" sqref="A2"/>
    </sheetView>
  </sheetViews>
  <sheetFormatPr defaultRowHeight="14.25" x14ac:dyDescent="0.2"/>
  <cols>
    <col min="2" max="2" width="28.25" bestFit="1" customWidth="1"/>
    <col min="3" max="3" width="0.75" customWidth="1"/>
    <col min="4" max="5" width="11.625" customWidth="1"/>
    <col min="6" max="6" width="11.875" customWidth="1"/>
    <col min="7" max="7" width="12" customWidth="1"/>
    <col min="8" max="8" width="11.125" bestFit="1" customWidth="1"/>
  </cols>
  <sheetData>
    <row r="2" spans="2:12" ht="25.5" x14ac:dyDescent="0.35">
      <c r="D2" s="54" t="s">
        <v>230</v>
      </c>
      <c r="E2" s="54"/>
    </row>
    <row r="3" spans="2:12" ht="15" thickBot="1" x14ac:dyDescent="0.25"/>
    <row r="4" spans="2:12" ht="15.75" thickTop="1" x14ac:dyDescent="0.25">
      <c r="B4" s="56"/>
      <c r="C4" s="56"/>
      <c r="D4" s="76" t="s">
        <v>211</v>
      </c>
      <c r="E4" s="76" t="s">
        <v>212</v>
      </c>
      <c r="F4" s="77" t="s">
        <v>222</v>
      </c>
      <c r="G4" s="76" t="s">
        <v>212</v>
      </c>
      <c r="H4" s="76" t="s">
        <v>212</v>
      </c>
    </row>
    <row r="5" spans="2:12" ht="15.75" thickBot="1" x14ac:dyDescent="0.3">
      <c r="B5" s="85"/>
      <c r="C5" s="85"/>
      <c r="D5" s="78">
        <v>2018</v>
      </c>
      <c r="E5" s="78">
        <v>2017</v>
      </c>
      <c r="F5" s="78" t="s">
        <v>223</v>
      </c>
      <c r="G5" s="78" t="s">
        <v>224</v>
      </c>
      <c r="H5" s="78">
        <v>2014</v>
      </c>
    </row>
    <row r="6" spans="2:12" ht="15" thickTop="1" x14ac:dyDescent="0.2">
      <c r="B6" s="57"/>
      <c r="C6" s="57"/>
      <c r="D6" s="79"/>
      <c r="E6" s="79"/>
      <c r="F6" s="79"/>
      <c r="G6" s="79"/>
      <c r="H6" s="79"/>
    </row>
    <row r="7" spans="2:12" x14ac:dyDescent="0.2">
      <c r="B7" s="57"/>
      <c r="C7" s="57"/>
      <c r="D7" s="57"/>
      <c r="E7" s="57"/>
      <c r="F7" s="57"/>
      <c r="G7" s="57"/>
      <c r="H7" s="57"/>
    </row>
    <row r="8" spans="2:12" x14ac:dyDescent="0.2">
      <c r="B8" s="57" t="s">
        <v>207</v>
      </c>
      <c r="C8" s="57"/>
      <c r="D8" s="81">
        <f>'דוח מסכם - תקציב 2018'!B25</f>
        <v>11834774.6</v>
      </c>
      <c r="E8" s="81">
        <f>'דוח מסכם - תקציב 2018'!E25</f>
        <v>10699950</v>
      </c>
      <c r="F8" s="81">
        <v>21888186</v>
      </c>
      <c r="G8" s="80">
        <v>11257989</v>
      </c>
      <c r="H8" s="80">
        <v>7614228</v>
      </c>
      <c r="I8" s="53"/>
      <c r="J8" s="53"/>
      <c r="K8" s="29"/>
      <c r="L8" s="29"/>
    </row>
    <row r="9" spans="2:12" x14ac:dyDescent="0.2">
      <c r="B9" s="57"/>
      <c r="C9" s="57"/>
      <c r="D9" s="81"/>
      <c r="E9" s="81"/>
      <c r="F9" s="81"/>
      <c r="G9" s="80"/>
      <c r="H9" s="80"/>
      <c r="I9" s="53"/>
      <c r="J9" s="53"/>
      <c r="K9" s="29"/>
      <c r="L9" s="29"/>
    </row>
    <row r="10" spans="2:12" x14ac:dyDescent="0.2">
      <c r="B10" s="82" t="s">
        <v>220</v>
      </c>
      <c r="C10" s="82"/>
      <c r="D10" s="81">
        <f>'דוח מסכם - תקציב 2018'!C25-'דוח מסכם - תקציב 2018'!C20</f>
        <v>11114460</v>
      </c>
      <c r="E10" s="81">
        <f>'דוח מסכם - תקציב 2018'!F25-'דוח מסכם - תקציב 2018'!F20</f>
        <v>10686149.199999999</v>
      </c>
      <c r="F10" s="81">
        <v>21949070</v>
      </c>
      <c r="G10" s="80">
        <v>12108785</v>
      </c>
      <c r="H10" s="80">
        <v>9301620</v>
      </c>
      <c r="I10" s="53"/>
      <c r="J10" s="53"/>
      <c r="K10" s="29"/>
      <c r="L10" s="29"/>
    </row>
    <row r="11" spans="2:12" x14ac:dyDescent="0.2">
      <c r="B11" s="57"/>
      <c r="C11" s="57"/>
      <c r="D11" s="81"/>
      <c r="E11" s="81"/>
      <c r="F11" s="81"/>
      <c r="G11" s="80"/>
      <c r="H11" s="80"/>
      <c r="I11" s="53"/>
      <c r="J11" s="53"/>
      <c r="K11" s="29"/>
      <c r="L11" s="29"/>
    </row>
    <row r="12" spans="2:12" ht="15" x14ac:dyDescent="0.25">
      <c r="B12" s="86" t="s">
        <v>208</v>
      </c>
      <c r="C12" s="57"/>
      <c r="D12" s="84">
        <f t="shared" ref="D12:F12" si="0">D8-D10</f>
        <v>720314.59999999963</v>
      </c>
      <c r="E12" s="84">
        <f t="shared" si="0"/>
        <v>13800.800000000745</v>
      </c>
      <c r="F12" s="84">
        <f t="shared" si="0"/>
        <v>-60884</v>
      </c>
      <c r="G12" s="83">
        <f>G8-G10</f>
        <v>-850796</v>
      </c>
      <c r="H12" s="83">
        <f>H8-H10</f>
        <v>-1687392</v>
      </c>
      <c r="I12" s="53"/>
      <c r="J12" s="53"/>
      <c r="K12" s="29"/>
      <c r="L12" s="29"/>
    </row>
    <row r="13" spans="2:12" x14ac:dyDescent="0.2">
      <c r="B13" s="57"/>
      <c r="C13" s="57"/>
      <c r="D13" s="81"/>
      <c r="E13" s="81"/>
      <c r="F13" s="81"/>
      <c r="G13" s="80"/>
      <c r="H13" s="80"/>
      <c r="I13" s="53"/>
      <c r="J13" s="53"/>
      <c r="K13" s="29"/>
      <c r="L13" s="29"/>
    </row>
    <row r="14" spans="2:12" x14ac:dyDescent="0.2">
      <c r="B14" s="57" t="s">
        <v>209</v>
      </c>
      <c r="C14" s="57"/>
      <c r="D14" s="81">
        <f>'דוח מסכם - תקציב 2018'!C20</f>
        <v>1393300</v>
      </c>
      <c r="E14" s="81">
        <f>'דוח מסכם - תקציב 2018'!F20</f>
        <v>1382319</v>
      </c>
      <c r="F14" s="81">
        <v>1142163</v>
      </c>
      <c r="G14" s="80">
        <v>935224</v>
      </c>
      <c r="H14" s="80">
        <v>553493</v>
      </c>
      <c r="I14" s="53"/>
      <c r="J14" s="53"/>
      <c r="K14" s="29"/>
      <c r="L14" s="29"/>
    </row>
    <row r="15" spans="2:12" x14ac:dyDescent="0.2">
      <c r="B15" s="57"/>
      <c r="C15" s="57"/>
      <c r="D15" s="81"/>
      <c r="E15" s="81"/>
      <c r="F15" s="80"/>
      <c r="G15" s="80"/>
      <c r="H15" s="80"/>
      <c r="I15" s="53"/>
      <c r="J15" s="53"/>
      <c r="K15" s="29"/>
      <c r="L15" s="29"/>
    </row>
    <row r="16" spans="2:12" ht="15.75" thickBot="1" x14ac:dyDescent="0.3">
      <c r="B16" s="87" t="s">
        <v>210</v>
      </c>
      <c r="C16" s="87"/>
      <c r="D16" s="87">
        <f t="shared" ref="D16:F16" si="1">D12-D14</f>
        <v>-672985.40000000037</v>
      </c>
      <c r="E16" s="87">
        <f t="shared" si="1"/>
        <v>-1368518.1999999993</v>
      </c>
      <c r="F16" s="87">
        <f t="shared" si="1"/>
        <v>-1203047</v>
      </c>
      <c r="G16" s="87">
        <f>G12-G14</f>
        <v>-1786020</v>
      </c>
      <c r="H16" s="87">
        <f>H12-H14</f>
        <v>-2240885</v>
      </c>
      <c r="I16" s="53"/>
      <c r="J16" s="53"/>
      <c r="K16" s="29"/>
      <c r="L16" s="29"/>
    </row>
    <row r="17" spans="2:12" ht="15" thickTop="1" x14ac:dyDescent="0.2">
      <c r="D17" s="53"/>
      <c r="E17" s="53"/>
      <c r="F17" s="53"/>
      <c r="G17" s="53"/>
      <c r="H17" s="53"/>
      <c r="I17" s="53"/>
      <c r="J17" s="53"/>
      <c r="K17" s="29"/>
      <c r="L17" s="29"/>
    </row>
    <row r="18" spans="2:12" x14ac:dyDescent="0.2">
      <c r="B18" s="91" t="s">
        <v>225</v>
      </c>
      <c r="C18" s="4"/>
      <c r="D18" s="88"/>
      <c r="E18" s="88"/>
      <c r="F18" s="88"/>
      <c r="G18" s="88"/>
      <c r="H18" s="53"/>
      <c r="I18" s="53"/>
      <c r="J18" s="53"/>
      <c r="K18" s="29"/>
      <c r="L18" s="29"/>
    </row>
    <row r="19" spans="2:12" x14ac:dyDescent="0.2">
      <c r="B19" s="4" t="s">
        <v>226</v>
      </c>
      <c r="C19" s="4"/>
      <c r="D19" s="88"/>
      <c r="E19" s="88"/>
      <c r="F19" s="88">
        <f>F8-11625528</f>
        <v>10262658</v>
      </c>
      <c r="G19" s="88">
        <f>G8-2402671</f>
        <v>8855318</v>
      </c>
      <c r="H19" s="53"/>
      <c r="I19" s="53"/>
      <c r="J19" s="53"/>
      <c r="K19" s="29"/>
      <c r="L19" s="29"/>
    </row>
    <row r="20" spans="2:12" ht="15" thickBot="1" x14ac:dyDescent="0.25">
      <c r="B20" s="4" t="s">
        <v>227</v>
      </c>
      <c r="C20" s="4"/>
      <c r="D20" s="88"/>
      <c r="E20" s="89"/>
      <c r="F20" s="89">
        <f>F10-11475269</f>
        <v>10473801</v>
      </c>
      <c r="G20" s="89">
        <f>G10-2462041</f>
        <v>9646744</v>
      </c>
      <c r="H20" s="53"/>
      <c r="I20" s="53"/>
      <c r="J20" s="53"/>
      <c r="K20" s="29"/>
      <c r="L20" s="29"/>
    </row>
    <row r="21" spans="2:12" x14ac:dyDescent="0.2">
      <c r="B21" s="4" t="s">
        <v>228</v>
      </c>
      <c r="C21" s="4"/>
      <c r="D21" s="88"/>
      <c r="E21" s="92"/>
      <c r="F21" s="90">
        <f>F19-F20</f>
        <v>-211143</v>
      </c>
      <c r="G21" s="90">
        <f>G19-G20</f>
        <v>-791426</v>
      </c>
      <c r="H21" s="53"/>
      <c r="I21" s="53"/>
      <c r="J21" s="53"/>
      <c r="K21" s="29"/>
      <c r="L21" s="29"/>
    </row>
    <row r="22" spans="2:12" x14ac:dyDescent="0.2">
      <c r="D22" s="53"/>
      <c r="E22" s="53"/>
      <c r="F22" s="53"/>
      <c r="G22" s="53"/>
      <c r="H22" s="53"/>
      <c r="I22" s="53"/>
      <c r="J22" s="53"/>
      <c r="K22" s="29"/>
      <c r="L22" s="29"/>
    </row>
    <row r="23" spans="2:12" x14ac:dyDescent="0.2">
      <c r="D23" s="53"/>
      <c r="E23" s="53"/>
      <c r="F23" s="53"/>
      <c r="G23" s="53"/>
      <c r="H23" s="53"/>
      <c r="I23" s="53"/>
      <c r="J23" s="53"/>
      <c r="K23" s="29"/>
      <c r="L23" s="29"/>
    </row>
    <row r="24" spans="2:12" x14ac:dyDescent="0.2">
      <c r="D24" s="53"/>
      <c r="E24" s="53"/>
      <c r="F24" s="53"/>
      <c r="G24" s="53"/>
      <c r="H24" s="53"/>
      <c r="I24" s="53"/>
      <c r="J24" s="53"/>
      <c r="K24" s="29"/>
      <c r="L24" s="29"/>
    </row>
    <row r="25" spans="2:12" x14ac:dyDescent="0.2">
      <c r="D25" s="53"/>
      <c r="E25" s="53"/>
      <c r="F25" s="53"/>
      <c r="G25" s="53"/>
      <c r="H25" s="53"/>
      <c r="I25" s="53"/>
      <c r="J25" s="53"/>
      <c r="K25" s="29"/>
      <c r="L25" s="29"/>
    </row>
    <row r="26" spans="2:12" x14ac:dyDescent="0.2">
      <c r="D26" s="53"/>
      <c r="E26" s="53"/>
      <c r="F26" s="53"/>
      <c r="G26" s="53"/>
      <c r="H26" s="53"/>
      <c r="I26" s="53"/>
      <c r="J26" s="53"/>
      <c r="K26" s="29"/>
      <c r="L26" s="29"/>
    </row>
    <row r="27" spans="2:12" x14ac:dyDescent="0.2">
      <c r="D27" s="29"/>
      <c r="E27" s="29"/>
      <c r="F27" s="29"/>
      <c r="G27" s="29"/>
      <c r="H27" s="29"/>
      <c r="I27" s="29"/>
      <c r="J27" s="29"/>
      <c r="K27" s="29"/>
      <c r="L27" s="29"/>
    </row>
    <row r="28" spans="2:12" x14ac:dyDescent="0.2">
      <c r="D28" s="29"/>
      <c r="E28" s="29"/>
      <c r="F28" s="29"/>
      <c r="G28" s="29"/>
      <c r="H28" s="29"/>
      <c r="I28" s="29"/>
      <c r="J28" s="29"/>
      <c r="K28" s="29"/>
      <c r="L28" s="2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8"/>
  <sheetViews>
    <sheetView showGridLines="0" rightToLeft="1" zoomScaleNormal="100" workbookViewId="0">
      <selection activeCell="A2" sqref="A2"/>
    </sheetView>
  </sheetViews>
  <sheetFormatPr defaultRowHeight="15" x14ac:dyDescent="0.25"/>
  <cols>
    <col min="1" max="1" width="33.25" customWidth="1"/>
    <col min="2" max="13" width="10.875" bestFit="1" customWidth="1"/>
    <col min="14" max="16" width="12.375" style="1" bestFit="1" customWidth="1"/>
  </cols>
  <sheetData>
    <row r="1" spans="1:26" ht="21.75" customHeight="1" thickBot="1" x14ac:dyDescent="0.3">
      <c r="A1" s="10" t="s">
        <v>117</v>
      </c>
    </row>
    <row r="2" spans="1:26" x14ac:dyDescent="0.25">
      <c r="A2" s="4"/>
      <c r="B2" s="8" t="s">
        <v>63</v>
      </c>
      <c r="C2" s="8" t="s">
        <v>64</v>
      </c>
      <c r="D2" s="8" t="s">
        <v>65</v>
      </c>
      <c r="E2" s="8" t="s">
        <v>66</v>
      </c>
      <c r="F2" s="8" t="s">
        <v>67</v>
      </c>
      <c r="G2" s="8" t="s">
        <v>68</v>
      </c>
      <c r="H2" s="8" t="s">
        <v>69</v>
      </c>
      <c r="I2" s="8" t="s">
        <v>70</v>
      </c>
      <c r="J2" s="8" t="s">
        <v>71</v>
      </c>
      <c r="K2" s="8" t="s">
        <v>72</v>
      </c>
      <c r="L2" s="8" t="s">
        <v>73</v>
      </c>
      <c r="M2" s="9" t="s">
        <v>74</v>
      </c>
      <c r="N2" s="5" t="s">
        <v>233</v>
      </c>
      <c r="O2" s="5" t="s">
        <v>113</v>
      </c>
      <c r="P2" s="5" t="s">
        <v>215</v>
      </c>
    </row>
    <row r="3" spans="1:26" x14ac:dyDescent="0.25">
      <c r="A3" s="18" t="s">
        <v>8</v>
      </c>
      <c r="B3" s="19">
        <f>ROUND(7500+(7500+37000+9000+7000)+(16440*1.35+566),-2)</f>
        <v>90800</v>
      </c>
      <c r="C3" s="19">
        <f t="shared" ref="C3:M3" si="0">ROUND(7500+(7500+37000+9000+7000)+(16440*1.35+566),-2)</f>
        <v>90800</v>
      </c>
      <c r="D3" s="19">
        <f t="shared" si="0"/>
        <v>90800</v>
      </c>
      <c r="E3" s="19">
        <f t="shared" si="0"/>
        <v>90800</v>
      </c>
      <c r="F3" s="19">
        <f t="shared" si="0"/>
        <v>90800</v>
      </c>
      <c r="G3" s="19">
        <f>ROUND(7500+(7500+37000+9000+7000)+(16440*1.35+566),-2)+ROUND(((424*9)*6),-2)</f>
        <v>113700</v>
      </c>
      <c r="H3" s="19">
        <f>ROUND(7500+(7500+37000+9000+7000)+(16440*1.35+566),-2)+ROUND((1510*4+2100*2),-2)</f>
        <v>101000</v>
      </c>
      <c r="I3" s="19">
        <f t="shared" si="0"/>
        <v>90800</v>
      </c>
      <c r="J3" s="19">
        <f t="shared" si="0"/>
        <v>90800</v>
      </c>
      <c r="K3" s="19">
        <f t="shared" si="0"/>
        <v>90800</v>
      </c>
      <c r="L3" s="19">
        <f t="shared" si="0"/>
        <v>90800</v>
      </c>
      <c r="M3" s="19">
        <f t="shared" si="0"/>
        <v>90800</v>
      </c>
      <c r="N3" s="6">
        <f>SUM(B3:M3)</f>
        <v>1122700</v>
      </c>
      <c r="O3" s="98">
        <v>914092</v>
      </c>
      <c r="P3" s="6">
        <f>N3-O3</f>
        <v>208608</v>
      </c>
      <c r="Q3" s="23"/>
      <c r="R3" s="23"/>
      <c r="S3" s="23"/>
      <c r="T3" s="23"/>
    </row>
    <row r="4" spans="1:26" x14ac:dyDescent="0.25">
      <c r="A4" s="18" t="s">
        <v>119</v>
      </c>
      <c r="B4" s="19">
        <f>30000*0.4+2000</f>
        <v>14000</v>
      </c>
      <c r="C4" s="19">
        <f t="shared" ref="C4:M4" si="1">30000*0.4+2000</f>
        <v>14000</v>
      </c>
      <c r="D4" s="19">
        <f t="shared" si="1"/>
        <v>14000</v>
      </c>
      <c r="E4" s="19">
        <f t="shared" si="1"/>
        <v>14000</v>
      </c>
      <c r="F4" s="19">
        <f t="shared" si="1"/>
        <v>14000</v>
      </c>
      <c r="G4" s="19">
        <f t="shared" si="1"/>
        <v>14000</v>
      </c>
      <c r="H4" s="19">
        <f t="shared" si="1"/>
        <v>14000</v>
      </c>
      <c r="I4" s="19">
        <f t="shared" si="1"/>
        <v>14000</v>
      </c>
      <c r="J4" s="19">
        <f t="shared" si="1"/>
        <v>14000</v>
      </c>
      <c r="K4" s="19">
        <f t="shared" si="1"/>
        <v>14000</v>
      </c>
      <c r="L4" s="19">
        <f t="shared" si="1"/>
        <v>14000</v>
      </c>
      <c r="M4" s="19">
        <f t="shared" si="1"/>
        <v>14000</v>
      </c>
      <c r="N4" s="6">
        <f t="shared" ref="N4:N21" si="2">SUM(B4:M4)</f>
        <v>168000</v>
      </c>
      <c r="O4" s="98">
        <v>357171</v>
      </c>
      <c r="P4" s="6">
        <f t="shared" ref="P4:P22" si="3">N4-O4</f>
        <v>-189171</v>
      </c>
      <c r="Q4" s="100" t="s">
        <v>258</v>
      </c>
      <c r="R4" s="100"/>
      <c r="S4" s="100"/>
      <c r="T4" s="100"/>
      <c r="U4" s="100"/>
      <c r="V4" s="100"/>
      <c r="W4" s="100"/>
      <c r="X4" s="100"/>
      <c r="Y4" s="100"/>
      <c r="Z4" s="100"/>
    </row>
    <row r="5" spans="1:26" x14ac:dyDescent="0.25">
      <c r="A5" s="18" t="s">
        <v>120</v>
      </c>
      <c r="B5" s="19">
        <v>6000</v>
      </c>
      <c r="C5" s="19">
        <v>6000</v>
      </c>
      <c r="D5" s="19">
        <v>6000</v>
      </c>
      <c r="E5" s="19">
        <v>6000</v>
      </c>
      <c r="F5" s="19">
        <v>6000</v>
      </c>
      <c r="G5" s="19">
        <v>6000</v>
      </c>
      <c r="H5" s="19">
        <v>6000</v>
      </c>
      <c r="I5" s="19">
        <v>6000</v>
      </c>
      <c r="J5" s="19">
        <v>6000</v>
      </c>
      <c r="K5" s="19">
        <v>6000</v>
      </c>
      <c r="L5" s="19">
        <v>6000</v>
      </c>
      <c r="M5" s="19">
        <v>6000</v>
      </c>
      <c r="N5" s="6">
        <f t="shared" si="2"/>
        <v>72000</v>
      </c>
      <c r="O5" s="98">
        <f>64538+6000+6000</f>
        <v>76538</v>
      </c>
      <c r="P5" s="6">
        <f t="shared" si="3"/>
        <v>-4538</v>
      </c>
      <c r="Q5" s="23"/>
      <c r="R5" s="23"/>
      <c r="S5" s="23"/>
      <c r="T5" s="23"/>
      <c r="U5" s="23"/>
    </row>
    <row r="6" spans="1:26" x14ac:dyDescent="0.25">
      <c r="A6" s="18" t="s">
        <v>121</v>
      </c>
      <c r="B6" s="19">
        <v>14000</v>
      </c>
      <c r="C6" s="19">
        <v>14000</v>
      </c>
      <c r="D6" s="19">
        <v>14000</v>
      </c>
      <c r="E6" s="19">
        <v>14000</v>
      </c>
      <c r="F6" s="19">
        <v>14000</v>
      </c>
      <c r="G6" s="19">
        <v>14000</v>
      </c>
      <c r="H6" s="19">
        <v>14000</v>
      </c>
      <c r="I6" s="19">
        <v>14000</v>
      </c>
      <c r="J6" s="19">
        <v>14000</v>
      </c>
      <c r="K6" s="19">
        <v>14000</v>
      </c>
      <c r="L6" s="19">
        <v>14000</v>
      </c>
      <c r="M6" s="19">
        <v>14000</v>
      </c>
      <c r="N6" s="6">
        <f t="shared" si="2"/>
        <v>168000</v>
      </c>
      <c r="O6" s="98">
        <v>163877</v>
      </c>
      <c r="P6" s="6">
        <f t="shared" si="3"/>
        <v>4123</v>
      </c>
      <c r="Q6" s="100" t="s">
        <v>259</v>
      </c>
      <c r="R6" s="100"/>
      <c r="S6" s="100"/>
      <c r="T6" s="100"/>
      <c r="U6" s="23"/>
    </row>
    <row r="7" spans="1:26" x14ac:dyDescent="0.25">
      <c r="A7" s="18" t="s">
        <v>12</v>
      </c>
      <c r="B7" s="19">
        <v>300</v>
      </c>
      <c r="C7" s="19">
        <v>300</v>
      </c>
      <c r="D7" s="19">
        <v>300</v>
      </c>
      <c r="E7" s="19">
        <v>300</v>
      </c>
      <c r="F7" s="19">
        <v>300</v>
      </c>
      <c r="G7" s="19">
        <v>300</v>
      </c>
      <c r="H7" s="19">
        <v>300</v>
      </c>
      <c r="I7" s="19">
        <v>300</v>
      </c>
      <c r="J7" s="19">
        <v>300</v>
      </c>
      <c r="K7" s="19">
        <v>300</v>
      </c>
      <c r="L7" s="19">
        <v>300</v>
      </c>
      <c r="M7" s="19">
        <v>300</v>
      </c>
      <c r="N7" s="6">
        <f t="shared" si="2"/>
        <v>3600</v>
      </c>
      <c r="O7" s="98">
        <v>1619</v>
      </c>
      <c r="P7" s="6">
        <f t="shared" si="3"/>
        <v>1981</v>
      </c>
      <c r="Q7" s="23"/>
      <c r="R7" s="23"/>
      <c r="S7" s="23"/>
      <c r="T7" s="23"/>
      <c r="U7" s="23"/>
    </row>
    <row r="8" spans="1:26" x14ac:dyDescent="0.25">
      <c r="A8" s="18" t="s">
        <v>13</v>
      </c>
      <c r="B8" s="19">
        <v>200</v>
      </c>
      <c r="C8" s="19">
        <v>200</v>
      </c>
      <c r="D8" s="19">
        <v>200</v>
      </c>
      <c r="E8" s="19">
        <v>200</v>
      </c>
      <c r="F8" s="19">
        <v>200</v>
      </c>
      <c r="G8" s="19">
        <v>200</v>
      </c>
      <c r="H8" s="19">
        <v>200</v>
      </c>
      <c r="I8" s="19">
        <v>200</v>
      </c>
      <c r="J8" s="19">
        <v>200</v>
      </c>
      <c r="K8" s="19">
        <v>200</v>
      </c>
      <c r="L8" s="19">
        <v>200</v>
      </c>
      <c r="M8" s="19">
        <v>200</v>
      </c>
      <c r="N8" s="6">
        <f t="shared" si="2"/>
        <v>2400</v>
      </c>
      <c r="O8" s="98">
        <f>1906+150</f>
        <v>2056</v>
      </c>
      <c r="P8" s="6">
        <f t="shared" si="3"/>
        <v>344</v>
      </c>
      <c r="Q8" s="23"/>
      <c r="R8" s="23"/>
      <c r="S8" s="23"/>
      <c r="T8" s="23"/>
      <c r="U8" s="23"/>
    </row>
    <row r="9" spans="1:26" x14ac:dyDescent="0.25">
      <c r="A9" s="18" t="s">
        <v>14</v>
      </c>
      <c r="B9" s="19">
        <f>ROUND((1505+592+635+365+20)/2*1.022,-2)</f>
        <v>1600</v>
      </c>
      <c r="C9" s="19">
        <f t="shared" ref="C9:M9" si="4">ROUND((1505+592+635+365+20)/2*1.022,-2)</f>
        <v>1600</v>
      </c>
      <c r="D9" s="19">
        <f t="shared" si="4"/>
        <v>1600</v>
      </c>
      <c r="E9" s="19">
        <f t="shared" si="4"/>
        <v>1600</v>
      </c>
      <c r="F9" s="19">
        <f t="shared" si="4"/>
        <v>1600</v>
      </c>
      <c r="G9" s="19">
        <f t="shared" si="4"/>
        <v>1600</v>
      </c>
      <c r="H9" s="19">
        <f t="shared" si="4"/>
        <v>1600</v>
      </c>
      <c r="I9" s="19">
        <f t="shared" si="4"/>
        <v>1600</v>
      </c>
      <c r="J9" s="19">
        <f t="shared" si="4"/>
        <v>1600</v>
      </c>
      <c r="K9" s="19">
        <f t="shared" si="4"/>
        <v>1600</v>
      </c>
      <c r="L9" s="19">
        <f t="shared" si="4"/>
        <v>1600</v>
      </c>
      <c r="M9" s="19">
        <f t="shared" si="4"/>
        <v>1600</v>
      </c>
      <c r="N9" s="6">
        <f t="shared" si="2"/>
        <v>19200</v>
      </c>
      <c r="O9" s="98">
        <v>18980</v>
      </c>
      <c r="P9" s="6">
        <f t="shared" si="3"/>
        <v>220</v>
      </c>
      <c r="Q9" s="100" t="s">
        <v>245</v>
      </c>
      <c r="R9" s="100"/>
      <c r="S9" s="100"/>
      <c r="T9" s="23"/>
      <c r="U9" s="23"/>
    </row>
    <row r="10" spans="1:26" x14ac:dyDescent="0.25">
      <c r="A10" s="18" t="s">
        <v>122</v>
      </c>
      <c r="B10" s="19">
        <v>1400</v>
      </c>
      <c r="C10" s="19">
        <v>1400</v>
      </c>
      <c r="D10" s="19">
        <v>1400</v>
      </c>
      <c r="E10" s="19">
        <v>1400</v>
      </c>
      <c r="F10" s="19">
        <v>1400</v>
      </c>
      <c r="G10" s="19">
        <v>1400</v>
      </c>
      <c r="H10" s="19">
        <v>1400</v>
      </c>
      <c r="I10" s="19">
        <v>1400</v>
      </c>
      <c r="J10" s="19">
        <v>1400</v>
      </c>
      <c r="K10" s="19">
        <v>1400</v>
      </c>
      <c r="L10" s="19">
        <v>1400</v>
      </c>
      <c r="M10" s="19">
        <v>1400</v>
      </c>
      <c r="N10" s="6">
        <f t="shared" si="2"/>
        <v>16800</v>
      </c>
      <c r="O10" s="98">
        <v>8759</v>
      </c>
      <c r="P10" s="6">
        <f t="shared" si="3"/>
        <v>8041</v>
      </c>
      <c r="Q10" s="23"/>
      <c r="R10" s="23"/>
      <c r="S10" s="23"/>
      <c r="T10" s="23"/>
      <c r="U10" s="23"/>
    </row>
    <row r="11" spans="1:26" x14ac:dyDescent="0.25">
      <c r="A11" s="18" t="s">
        <v>124</v>
      </c>
      <c r="B11" s="19">
        <f>6000/12</f>
        <v>500</v>
      </c>
      <c r="C11" s="19">
        <f t="shared" ref="C11:M11" si="5">6000/12</f>
        <v>500</v>
      </c>
      <c r="D11" s="19">
        <f t="shared" si="5"/>
        <v>500</v>
      </c>
      <c r="E11" s="19">
        <f t="shared" si="5"/>
        <v>500</v>
      </c>
      <c r="F11" s="19">
        <f t="shared" si="5"/>
        <v>500</v>
      </c>
      <c r="G11" s="19">
        <f t="shared" si="5"/>
        <v>500</v>
      </c>
      <c r="H11" s="19">
        <f t="shared" si="5"/>
        <v>500</v>
      </c>
      <c r="I11" s="19">
        <f t="shared" si="5"/>
        <v>500</v>
      </c>
      <c r="J11" s="19">
        <f t="shared" si="5"/>
        <v>500</v>
      </c>
      <c r="K11" s="19">
        <f t="shared" si="5"/>
        <v>500</v>
      </c>
      <c r="L11" s="19">
        <f t="shared" si="5"/>
        <v>500</v>
      </c>
      <c r="M11" s="19">
        <f t="shared" si="5"/>
        <v>500</v>
      </c>
      <c r="N11" s="6">
        <f t="shared" si="2"/>
        <v>6000</v>
      </c>
      <c r="O11" s="98">
        <f>4584+3076</f>
        <v>7660</v>
      </c>
      <c r="P11" s="6">
        <f t="shared" si="3"/>
        <v>-1660</v>
      </c>
      <c r="Q11" s="23"/>
      <c r="R11" s="23"/>
      <c r="S11" s="23"/>
      <c r="T11" s="23"/>
      <c r="U11" s="23"/>
    </row>
    <row r="12" spans="1:26" x14ac:dyDescent="0.25">
      <c r="A12" s="18" t="s">
        <v>129</v>
      </c>
      <c r="B12" s="19">
        <f>3000/12</f>
        <v>250</v>
      </c>
      <c r="C12" s="19">
        <f t="shared" ref="C12:M12" si="6">3000/12</f>
        <v>250</v>
      </c>
      <c r="D12" s="19">
        <f t="shared" si="6"/>
        <v>250</v>
      </c>
      <c r="E12" s="19">
        <f t="shared" si="6"/>
        <v>250</v>
      </c>
      <c r="F12" s="19">
        <f t="shared" si="6"/>
        <v>250</v>
      </c>
      <c r="G12" s="19">
        <f t="shared" si="6"/>
        <v>250</v>
      </c>
      <c r="H12" s="19">
        <f t="shared" si="6"/>
        <v>250</v>
      </c>
      <c r="I12" s="19">
        <f t="shared" si="6"/>
        <v>250</v>
      </c>
      <c r="J12" s="19">
        <f t="shared" si="6"/>
        <v>250</v>
      </c>
      <c r="K12" s="19">
        <f t="shared" si="6"/>
        <v>250</v>
      </c>
      <c r="L12" s="19">
        <f t="shared" si="6"/>
        <v>250</v>
      </c>
      <c r="M12" s="19">
        <f t="shared" si="6"/>
        <v>250</v>
      </c>
      <c r="N12" s="6">
        <f t="shared" si="2"/>
        <v>3000</v>
      </c>
      <c r="O12" s="98">
        <f>83+2115</f>
        <v>2198</v>
      </c>
      <c r="P12" s="6">
        <f t="shared" si="3"/>
        <v>802</v>
      </c>
      <c r="Q12" s="23"/>
      <c r="R12" s="23"/>
      <c r="S12" s="23"/>
      <c r="T12" s="23"/>
      <c r="U12" s="23"/>
    </row>
    <row r="13" spans="1:26" x14ac:dyDescent="0.25">
      <c r="A13" s="18" t="s">
        <v>123</v>
      </c>
      <c r="B13" s="19">
        <f>6000/12</f>
        <v>500</v>
      </c>
      <c r="C13" s="19">
        <f t="shared" ref="C13:M13" si="7">6000/12</f>
        <v>500</v>
      </c>
      <c r="D13" s="19">
        <f t="shared" si="7"/>
        <v>500</v>
      </c>
      <c r="E13" s="19">
        <f t="shared" si="7"/>
        <v>500</v>
      </c>
      <c r="F13" s="19">
        <f t="shared" si="7"/>
        <v>500</v>
      </c>
      <c r="G13" s="19">
        <f t="shared" si="7"/>
        <v>500</v>
      </c>
      <c r="H13" s="19">
        <f t="shared" si="7"/>
        <v>500</v>
      </c>
      <c r="I13" s="19">
        <f t="shared" si="7"/>
        <v>500</v>
      </c>
      <c r="J13" s="19">
        <f t="shared" si="7"/>
        <v>500</v>
      </c>
      <c r="K13" s="19">
        <f t="shared" si="7"/>
        <v>500</v>
      </c>
      <c r="L13" s="19">
        <f t="shared" si="7"/>
        <v>500</v>
      </c>
      <c r="M13" s="19">
        <f t="shared" si="7"/>
        <v>500</v>
      </c>
      <c r="N13" s="6">
        <f t="shared" si="2"/>
        <v>6000</v>
      </c>
      <c r="O13" s="98">
        <v>3713</v>
      </c>
      <c r="P13" s="6">
        <f t="shared" si="3"/>
        <v>2287</v>
      </c>
      <c r="Q13" s="23"/>
      <c r="R13" s="23"/>
      <c r="S13" s="23"/>
      <c r="T13" s="23"/>
      <c r="U13" s="23"/>
    </row>
    <row r="14" spans="1:26" x14ac:dyDescent="0.25">
      <c r="A14" s="18" t="s">
        <v>128</v>
      </c>
      <c r="B14" s="19">
        <v>750</v>
      </c>
      <c r="C14" s="19">
        <v>750</v>
      </c>
      <c r="D14" s="19">
        <v>750</v>
      </c>
      <c r="E14" s="19">
        <v>750</v>
      </c>
      <c r="F14" s="19">
        <v>750</v>
      </c>
      <c r="G14" s="19">
        <v>750</v>
      </c>
      <c r="H14" s="19">
        <v>750</v>
      </c>
      <c r="I14" s="19">
        <v>750</v>
      </c>
      <c r="J14" s="19">
        <v>750</v>
      </c>
      <c r="K14" s="19">
        <v>750</v>
      </c>
      <c r="L14" s="19">
        <v>750</v>
      </c>
      <c r="M14" s="19">
        <v>750</v>
      </c>
      <c r="N14" s="6">
        <f t="shared" si="2"/>
        <v>9000</v>
      </c>
      <c r="O14" s="98">
        <v>8800</v>
      </c>
      <c r="P14" s="6">
        <f t="shared" si="3"/>
        <v>200</v>
      </c>
      <c r="Q14" s="23"/>
      <c r="R14" s="23"/>
      <c r="S14" s="23"/>
      <c r="T14" s="23"/>
      <c r="U14" s="23"/>
    </row>
    <row r="15" spans="1:26" x14ac:dyDescent="0.25">
      <c r="A15" s="18" t="s">
        <v>127</v>
      </c>
      <c r="B15" s="19">
        <v>2000</v>
      </c>
      <c r="C15" s="19">
        <v>2000</v>
      </c>
      <c r="D15" s="19">
        <v>2000</v>
      </c>
      <c r="E15" s="19">
        <v>2000</v>
      </c>
      <c r="F15" s="19">
        <v>2000</v>
      </c>
      <c r="G15" s="19">
        <v>2000</v>
      </c>
      <c r="H15" s="19">
        <v>2000</v>
      </c>
      <c r="I15" s="19">
        <v>2000</v>
      </c>
      <c r="J15" s="19">
        <v>2000</v>
      </c>
      <c r="K15" s="19">
        <v>2000</v>
      </c>
      <c r="L15" s="19">
        <v>2000</v>
      </c>
      <c r="M15" s="19">
        <v>2000</v>
      </c>
      <c r="N15" s="6">
        <f t="shared" si="2"/>
        <v>24000</v>
      </c>
      <c r="O15" s="98">
        <f>11300+15865+3114</f>
        <v>30279</v>
      </c>
      <c r="P15" s="6">
        <f t="shared" si="3"/>
        <v>-6279</v>
      </c>
      <c r="Q15" s="23"/>
      <c r="R15" s="23"/>
      <c r="S15" s="23"/>
      <c r="T15" s="23"/>
      <c r="U15" s="23"/>
    </row>
    <row r="16" spans="1:26" x14ac:dyDescent="0.25">
      <c r="A16" s="18" t="s">
        <v>20</v>
      </c>
      <c r="B16" s="19">
        <v>1500</v>
      </c>
      <c r="C16" s="19">
        <v>1500</v>
      </c>
      <c r="D16" s="19">
        <v>1500</v>
      </c>
      <c r="E16" s="19">
        <v>1500</v>
      </c>
      <c r="F16" s="19">
        <v>1500</v>
      </c>
      <c r="G16" s="19">
        <v>1500</v>
      </c>
      <c r="H16" s="19">
        <v>1500</v>
      </c>
      <c r="I16" s="19">
        <v>1500</v>
      </c>
      <c r="J16" s="19">
        <v>1500</v>
      </c>
      <c r="K16" s="19">
        <v>1500</v>
      </c>
      <c r="L16" s="19">
        <v>1500</v>
      </c>
      <c r="M16" s="19">
        <v>1500</v>
      </c>
      <c r="N16" s="6">
        <f t="shared" si="2"/>
        <v>18000</v>
      </c>
      <c r="O16" s="98">
        <v>3942</v>
      </c>
      <c r="P16" s="6">
        <f t="shared" si="3"/>
        <v>14058</v>
      </c>
      <c r="Q16" s="23"/>
      <c r="R16" s="23"/>
      <c r="S16" s="23"/>
      <c r="T16" s="23"/>
      <c r="U16" s="23"/>
    </row>
    <row r="17" spans="1:27" x14ac:dyDescent="0.25">
      <c r="A17" s="18" t="s">
        <v>118</v>
      </c>
      <c r="B17" s="19">
        <f>4000+4000</f>
        <v>8000</v>
      </c>
      <c r="C17" s="19">
        <f t="shared" ref="C17:M17" si="8">4000+4000</f>
        <v>8000</v>
      </c>
      <c r="D17" s="19">
        <f t="shared" si="8"/>
        <v>8000</v>
      </c>
      <c r="E17" s="19">
        <f t="shared" si="8"/>
        <v>8000</v>
      </c>
      <c r="F17" s="19">
        <f t="shared" si="8"/>
        <v>8000</v>
      </c>
      <c r="G17" s="19">
        <f t="shared" si="8"/>
        <v>8000</v>
      </c>
      <c r="H17" s="19">
        <f t="shared" si="8"/>
        <v>8000</v>
      </c>
      <c r="I17" s="19">
        <f t="shared" si="8"/>
        <v>8000</v>
      </c>
      <c r="J17" s="19">
        <f t="shared" si="8"/>
        <v>8000</v>
      </c>
      <c r="K17" s="19">
        <f t="shared" si="8"/>
        <v>8000</v>
      </c>
      <c r="L17" s="19">
        <f t="shared" si="8"/>
        <v>8000</v>
      </c>
      <c r="M17" s="19">
        <f t="shared" si="8"/>
        <v>8000</v>
      </c>
      <c r="N17" s="6">
        <f>SUM(B17:M17)</f>
        <v>96000</v>
      </c>
      <c r="O17" s="98">
        <v>64243</v>
      </c>
      <c r="P17" s="6">
        <f t="shared" si="3"/>
        <v>31757</v>
      </c>
      <c r="Q17" s="100" t="s">
        <v>261</v>
      </c>
      <c r="R17" s="100"/>
      <c r="S17" s="100"/>
      <c r="T17" s="100"/>
      <c r="U17" s="100"/>
    </row>
    <row r="18" spans="1:27" x14ac:dyDescent="0.25">
      <c r="A18" s="18" t="s">
        <v>126</v>
      </c>
      <c r="B18" s="19">
        <v>3750</v>
      </c>
      <c r="C18" s="19">
        <v>3750</v>
      </c>
      <c r="D18" s="19">
        <v>3750</v>
      </c>
      <c r="E18" s="19">
        <v>3750</v>
      </c>
      <c r="F18" s="19">
        <v>3750</v>
      </c>
      <c r="G18" s="19">
        <v>3750</v>
      </c>
      <c r="H18" s="19">
        <v>3750</v>
      </c>
      <c r="I18" s="19">
        <v>3750</v>
      </c>
      <c r="J18" s="19">
        <v>3750</v>
      </c>
      <c r="K18" s="19">
        <v>3750</v>
      </c>
      <c r="L18" s="19">
        <v>3750</v>
      </c>
      <c r="M18" s="19">
        <v>3750</v>
      </c>
      <c r="N18" s="6">
        <f t="shared" si="2"/>
        <v>45000</v>
      </c>
      <c r="O18" s="98">
        <f>4169+41979</f>
        <v>46148</v>
      </c>
      <c r="P18" s="6">
        <f t="shared" si="3"/>
        <v>-1148</v>
      </c>
      <c r="Q18" s="23"/>
      <c r="R18" s="23"/>
      <c r="S18" s="23"/>
      <c r="T18" s="23"/>
      <c r="U18" s="23"/>
    </row>
    <row r="19" spans="1:27" x14ac:dyDescent="0.25">
      <c r="A19" s="18" t="s">
        <v>260</v>
      </c>
      <c r="B19" s="19">
        <f>ROUND(15000/12,-2)</f>
        <v>1300</v>
      </c>
      <c r="C19" s="19">
        <f t="shared" ref="C19:M19" si="9">ROUND(15000/12,-2)</f>
        <v>1300</v>
      </c>
      <c r="D19" s="19">
        <f t="shared" si="9"/>
        <v>1300</v>
      </c>
      <c r="E19" s="19">
        <f t="shared" si="9"/>
        <v>1300</v>
      </c>
      <c r="F19" s="19">
        <f t="shared" si="9"/>
        <v>1300</v>
      </c>
      <c r="G19" s="19">
        <f t="shared" si="9"/>
        <v>1300</v>
      </c>
      <c r="H19" s="19">
        <f t="shared" si="9"/>
        <v>1300</v>
      </c>
      <c r="I19" s="19">
        <f t="shared" si="9"/>
        <v>1300</v>
      </c>
      <c r="J19" s="19">
        <f t="shared" si="9"/>
        <v>1300</v>
      </c>
      <c r="K19" s="19">
        <f t="shared" si="9"/>
        <v>1300</v>
      </c>
      <c r="L19" s="19">
        <f t="shared" si="9"/>
        <v>1300</v>
      </c>
      <c r="M19" s="19">
        <f t="shared" si="9"/>
        <v>1300</v>
      </c>
      <c r="N19" s="6">
        <f t="shared" si="2"/>
        <v>15600</v>
      </c>
      <c r="O19" s="98">
        <v>14517</v>
      </c>
      <c r="P19" s="6">
        <f t="shared" si="3"/>
        <v>1083</v>
      </c>
      <c r="Q19" s="23"/>
      <c r="R19" s="23"/>
      <c r="S19" s="23"/>
      <c r="T19" s="23"/>
      <c r="U19" s="23"/>
    </row>
    <row r="20" spans="1:27" x14ac:dyDescent="0.25">
      <c r="A20" s="18" t="s">
        <v>125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6">
        <f t="shared" si="2"/>
        <v>0</v>
      </c>
      <c r="O20" s="98">
        <v>0</v>
      </c>
      <c r="P20" s="6">
        <f t="shared" si="3"/>
        <v>0</v>
      </c>
      <c r="Q20" s="23"/>
      <c r="R20" s="23"/>
      <c r="S20" s="23"/>
      <c r="T20" s="23"/>
      <c r="U20" s="23"/>
    </row>
    <row r="21" spans="1:27" x14ac:dyDescent="0.25">
      <c r="A21" s="18" t="s">
        <v>206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6">
        <f t="shared" si="2"/>
        <v>0</v>
      </c>
      <c r="O21" s="98">
        <v>0</v>
      </c>
      <c r="P21" s="6">
        <f t="shared" si="3"/>
        <v>0</v>
      </c>
      <c r="Q21" s="23"/>
      <c r="R21" s="23"/>
      <c r="S21" s="23"/>
      <c r="T21" s="23"/>
      <c r="U21" s="23"/>
    </row>
    <row r="22" spans="1:27" ht="15.75" thickBot="1" x14ac:dyDescent="0.3">
      <c r="A22" s="18" t="s">
        <v>198</v>
      </c>
      <c r="B22" s="19">
        <f>-ROUND(((16440*1.35+566)*0.5+(9000+7500)*0.3+(B6+B7+B8+B9+B10)*0.6+(B11+B12+B13+B14+B15+B16+B18)*0.5+4000*0.5),-2)</f>
        <v>-33500</v>
      </c>
      <c r="C22" s="19">
        <f t="shared" ref="C22:M22" si="10">-ROUND(((16440*1.35+566)*0.5+(9000+7500)*0.3+(C6+C7+C8+C9+C10)*0.6+(C11+C12+C13+C14+C15+C16+C18)*0.5+4000*0.5),-2)</f>
        <v>-33500</v>
      </c>
      <c r="D22" s="19">
        <f t="shared" si="10"/>
        <v>-33500</v>
      </c>
      <c r="E22" s="19">
        <f t="shared" si="10"/>
        <v>-33500</v>
      </c>
      <c r="F22" s="19">
        <f t="shared" si="10"/>
        <v>-33500</v>
      </c>
      <c r="G22" s="19">
        <f t="shared" si="10"/>
        <v>-33500</v>
      </c>
      <c r="H22" s="19">
        <f t="shared" si="10"/>
        <v>-33500</v>
      </c>
      <c r="I22" s="19">
        <f t="shared" si="10"/>
        <v>-33500</v>
      </c>
      <c r="J22" s="19">
        <f t="shared" si="10"/>
        <v>-33500</v>
      </c>
      <c r="K22" s="19">
        <f t="shared" si="10"/>
        <v>-33500</v>
      </c>
      <c r="L22" s="19">
        <f t="shared" si="10"/>
        <v>-33500</v>
      </c>
      <c r="M22" s="19">
        <f t="shared" si="10"/>
        <v>-33500</v>
      </c>
      <c r="N22" s="6">
        <f>SUM(B22:M22)</f>
        <v>-402000</v>
      </c>
      <c r="O22" s="98">
        <f>-(58793+56182+43204+46398+70458+76498+71858)-80000*1+(931+9621+9006+8577+22259+36180+37564+36980)</f>
        <v>-342273</v>
      </c>
      <c r="P22" s="6">
        <f t="shared" si="3"/>
        <v>-59727</v>
      </c>
      <c r="Q22" s="116" t="s">
        <v>267</v>
      </c>
      <c r="R22" s="100"/>
      <c r="S22" s="100"/>
      <c r="T22" s="100"/>
      <c r="U22" s="100"/>
      <c r="V22" s="100"/>
      <c r="W22" s="100"/>
      <c r="X22" s="100"/>
      <c r="Y22" s="23"/>
      <c r="Z22" s="23"/>
      <c r="AA22" s="23"/>
    </row>
    <row r="23" spans="1:27" s="1" customFormat="1" ht="15.75" thickBot="1" x14ac:dyDescent="0.3">
      <c r="A23" s="7" t="s">
        <v>1</v>
      </c>
      <c r="B23" s="11">
        <f t="shared" ref="B23:O23" si="11">SUM(B3:B22)</f>
        <v>113350</v>
      </c>
      <c r="C23" s="11">
        <f t="shared" si="11"/>
        <v>113350</v>
      </c>
      <c r="D23" s="11">
        <f t="shared" si="11"/>
        <v>113350</v>
      </c>
      <c r="E23" s="11">
        <f t="shared" si="11"/>
        <v>113350</v>
      </c>
      <c r="F23" s="11">
        <f t="shared" si="11"/>
        <v>113350</v>
      </c>
      <c r="G23" s="11">
        <f t="shared" si="11"/>
        <v>136250</v>
      </c>
      <c r="H23" s="11">
        <f t="shared" si="11"/>
        <v>123550</v>
      </c>
      <c r="I23" s="11">
        <f>SUM(I3:I22)</f>
        <v>113350</v>
      </c>
      <c r="J23" s="11">
        <f t="shared" si="11"/>
        <v>113350</v>
      </c>
      <c r="K23" s="11">
        <f t="shared" si="11"/>
        <v>113350</v>
      </c>
      <c r="L23" s="11">
        <f t="shared" si="11"/>
        <v>113350</v>
      </c>
      <c r="M23" s="11">
        <f t="shared" si="11"/>
        <v>113350</v>
      </c>
      <c r="N23" s="11">
        <f>SUM(N3:N22)</f>
        <v>1393300</v>
      </c>
      <c r="O23" s="11">
        <f t="shared" si="11"/>
        <v>1382319</v>
      </c>
      <c r="P23" s="11">
        <f>SUM(P3:P22)</f>
        <v>10981</v>
      </c>
    </row>
    <row r="28" spans="1:27" x14ac:dyDescent="0.25">
      <c r="N28" s="14"/>
      <c r="O28" s="14"/>
      <c r="P28" s="14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1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4"/>
  <sheetViews>
    <sheetView showGridLines="0" rightToLeft="1" zoomScaleNormal="100" workbookViewId="0">
      <selection activeCell="A8" sqref="A8"/>
    </sheetView>
  </sheetViews>
  <sheetFormatPr defaultRowHeight="15" x14ac:dyDescent="0.25"/>
  <cols>
    <col min="1" max="1" width="33.25" customWidth="1"/>
    <col min="2" max="13" width="10.875" bestFit="1" customWidth="1"/>
    <col min="14" max="16" width="12.375" style="1" bestFit="1" customWidth="1"/>
  </cols>
  <sheetData>
    <row r="1" spans="1:24" ht="21.75" customHeight="1" thickBot="1" x14ac:dyDescent="0.3">
      <c r="A1" s="10" t="s">
        <v>249</v>
      </c>
    </row>
    <row r="2" spans="1:24" x14ac:dyDescent="0.25">
      <c r="A2" s="4"/>
      <c r="B2" s="8" t="s">
        <v>63</v>
      </c>
      <c r="C2" s="8" t="s">
        <v>64</v>
      </c>
      <c r="D2" s="8" t="s">
        <v>65</v>
      </c>
      <c r="E2" s="8" t="s">
        <v>66</v>
      </c>
      <c r="F2" s="8" t="s">
        <v>67</v>
      </c>
      <c r="G2" s="8" t="s">
        <v>68</v>
      </c>
      <c r="H2" s="8" t="s">
        <v>69</v>
      </c>
      <c r="I2" s="8" t="s">
        <v>70</v>
      </c>
      <c r="J2" s="8" t="s">
        <v>71</v>
      </c>
      <c r="K2" s="8" t="s">
        <v>72</v>
      </c>
      <c r="L2" s="8" t="s">
        <v>73</v>
      </c>
      <c r="M2" s="9" t="s">
        <v>74</v>
      </c>
      <c r="N2" s="5" t="s">
        <v>233</v>
      </c>
      <c r="O2" s="5" t="s">
        <v>113</v>
      </c>
      <c r="P2" s="5" t="s">
        <v>215</v>
      </c>
    </row>
    <row r="3" spans="1:24" x14ac:dyDescent="0.25">
      <c r="A3" s="18" t="s">
        <v>263</v>
      </c>
      <c r="B3" s="28">
        <f>ROUND(320000/1.17,0)*0+B30</f>
        <v>204500</v>
      </c>
      <c r="C3" s="28">
        <f t="shared" ref="C3:M3" si="0">ROUND(320000/1.17,0)*0+C30</f>
        <v>204500</v>
      </c>
      <c r="D3" s="28">
        <f t="shared" si="0"/>
        <v>204500</v>
      </c>
      <c r="E3" s="28">
        <f t="shared" si="0"/>
        <v>204500</v>
      </c>
      <c r="F3" s="28">
        <f t="shared" si="0"/>
        <v>204500</v>
      </c>
      <c r="G3" s="28">
        <f t="shared" si="0"/>
        <v>204500</v>
      </c>
      <c r="H3" s="28">
        <f t="shared" si="0"/>
        <v>204500</v>
      </c>
      <c r="I3" s="28">
        <f t="shared" si="0"/>
        <v>204500</v>
      </c>
      <c r="J3" s="28">
        <f t="shared" si="0"/>
        <v>204500</v>
      </c>
      <c r="K3" s="28">
        <f t="shared" si="0"/>
        <v>204500</v>
      </c>
      <c r="L3" s="28">
        <f t="shared" si="0"/>
        <v>204500</v>
      </c>
      <c r="M3" s="28">
        <f t="shared" si="0"/>
        <v>204500</v>
      </c>
      <c r="N3" s="6">
        <f>SUM(B3:M3)</f>
        <v>2454000</v>
      </c>
      <c r="O3" s="28">
        <f>ROUND(320000/1.17,0)*8*0+O30</f>
        <v>522826</v>
      </c>
      <c r="P3" s="6">
        <f>N3-O3</f>
        <v>1931174</v>
      </c>
    </row>
    <row r="4" spans="1:24" x14ac:dyDescent="0.25">
      <c r="A4" s="18"/>
      <c r="B4" s="19">
        <v>0</v>
      </c>
      <c r="C4" s="19">
        <v>0</v>
      </c>
      <c r="D4" s="19">
        <v>0</v>
      </c>
      <c r="E4" s="19">
        <v>0</v>
      </c>
      <c r="F4" s="19">
        <v>0</v>
      </c>
      <c r="G4" s="19">
        <v>0</v>
      </c>
      <c r="H4" s="19">
        <v>0</v>
      </c>
      <c r="I4" s="19">
        <v>0</v>
      </c>
      <c r="J4" s="19">
        <v>0</v>
      </c>
      <c r="K4" s="19">
        <v>0</v>
      </c>
      <c r="L4" s="19">
        <v>0</v>
      </c>
      <c r="M4" s="99">
        <v>0</v>
      </c>
      <c r="N4" s="6">
        <f t="shared" ref="N4:N5" si="1">SUM(B4:M4)</f>
        <v>0</v>
      </c>
      <c r="O4" s="98">
        <v>0</v>
      </c>
      <c r="P4" s="6">
        <f t="shared" ref="P4:P5" si="2">N4-O4</f>
        <v>0</v>
      </c>
    </row>
    <row r="5" spans="1:24" ht="15.75" thickBot="1" x14ac:dyDescent="0.3">
      <c r="A5" s="43"/>
      <c r="B5" s="109">
        <v>0</v>
      </c>
      <c r="C5" s="109">
        <v>0</v>
      </c>
      <c r="D5" s="109">
        <v>0</v>
      </c>
      <c r="E5" s="109">
        <v>0</v>
      </c>
      <c r="F5" s="109">
        <v>0</v>
      </c>
      <c r="G5" s="109">
        <v>0</v>
      </c>
      <c r="H5" s="109">
        <v>0</v>
      </c>
      <c r="I5" s="109">
        <v>0</v>
      </c>
      <c r="J5" s="109">
        <v>0</v>
      </c>
      <c r="K5" s="109">
        <v>0</v>
      </c>
      <c r="L5" s="109">
        <v>0</v>
      </c>
      <c r="M5" s="110">
        <v>0</v>
      </c>
      <c r="N5" s="6">
        <f t="shared" si="1"/>
        <v>0</v>
      </c>
      <c r="O5" s="98">
        <v>0</v>
      </c>
      <c r="P5" s="6">
        <f t="shared" si="2"/>
        <v>0</v>
      </c>
    </row>
    <row r="6" spans="1:24" s="1" customFormat="1" ht="15.75" thickBot="1" x14ac:dyDescent="0.3">
      <c r="A6" s="7" t="s">
        <v>0</v>
      </c>
      <c r="B6" s="11">
        <f t="shared" ref="B6:P6" si="3">SUM(B3:B5)</f>
        <v>204500</v>
      </c>
      <c r="C6" s="11">
        <f t="shared" si="3"/>
        <v>204500</v>
      </c>
      <c r="D6" s="11">
        <f t="shared" si="3"/>
        <v>204500</v>
      </c>
      <c r="E6" s="11">
        <f t="shared" si="3"/>
        <v>204500</v>
      </c>
      <c r="F6" s="11">
        <f t="shared" si="3"/>
        <v>204500</v>
      </c>
      <c r="G6" s="11">
        <f t="shared" si="3"/>
        <v>204500</v>
      </c>
      <c r="H6" s="11">
        <f t="shared" si="3"/>
        <v>204500</v>
      </c>
      <c r="I6" s="11">
        <f t="shared" si="3"/>
        <v>204500</v>
      </c>
      <c r="J6" s="11">
        <f t="shared" si="3"/>
        <v>204500</v>
      </c>
      <c r="K6" s="11">
        <f t="shared" si="3"/>
        <v>204500</v>
      </c>
      <c r="L6" s="11">
        <f t="shared" si="3"/>
        <v>204500</v>
      </c>
      <c r="M6" s="11">
        <f t="shared" si="3"/>
        <v>204500</v>
      </c>
      <c r="N6" s="11">
        <f t="shared" si="3"/>
        <v>2454000</v>
      </c>
      <c r="O6" s="11">
        <f t="shared" si="3"/>
        <v>522826</v>
      </c>
      <c r="P6" s="11">
        <f t="shared" si="3"/>
        <v>1931174</v>
      </c>
    </row>
    <row r="9" spans="1:24" ht="21.75" customHeight="1" thickBot="1" x14ac:dyDescent="0.3">
      <c r="A9" s="10" t="s">
        <v>250</v>
      </c>
    </row>
    <row r="10" spans="1:24" x14ac:dyDescent="0.25">
      <c r="A10" s="4"/>
      <c r="B10" s="8" t="s">
        <v>63</v>
      </c>
      <c r="C10" s="8" t="s">
        <v>64</v>
      </c>
      <c r="D10" s="8" t="s">
        <v>65</v>
      </c>
      <c r="E10" s="8" t="s">
        <v>66</v>
      </c>
      <c r="F10" s="8" t="s">
        <v>67</v>
      </c>
      <c r="G10" s="8" t="s">
        <v>68</v>
      </c>
      <c r="H10" s="8" t="s">
        <v>69</v>
      </c>
      <c r="I10" s="8" t="s">
        <v>70</v>
      </c>
      <c r="J10" s="8" t="s">
        <v>71</v>
      </c>
      <c r="K10" s="8" t="s">
        <v>72</v>
      </c>
      <c r="L10" s="8" t="s">
        <v>73</v>
      </c>
      <c r="M10" s="9" t="s">
        <v>74</v>
      </c>
      <c r="N10" s="5" t="str">
        <f>N2</f>
        <v>סה"כ 2018</v>
      </c>
      <c r="O10" s="5" t="str">
        <f>O2</f>
        <v>סה"כ 2017</v>
      </c>
      <c r="P10" s="5" t="s">
        <v>215</v>
      </c>
    </row>
    <row r="11" spans="1:24" x14ac:dyDescent="0.25">
      <c r="A11" s="18" t="s">
        <v>8</v>
      </c>
      <c r="B11" s="19">
        <f>27000+23000+12000*3+12000*3+7000*2+9000</f>
        <v>145000</v>
      </c>
      <c r="C11" s="19">
        <f t="shared" ref="C11:M11" si="4">27000+23000+12000*3+12000*3+7000*2+9000</f>
        <v>145000</v>
      </c>
      <c r="D11" s="19">
        <f t="shared" si="4"/>
        <v>145000</v>
      </c>
      <c r="E11" s="19">
        <f t="shared" si="4"/>
        <v>145000</v>
      </c>
      <c r="F11" s="19">
        <f t="shared" si="4"/>
        <v>145000</v>
      </c>
      <c r="G11" s="19">
        <f t="shared" si="4"/>
        <v>145000</v>
      </c>
      <c r="H11" s="19">
        <f t="shared" si="4"/>
        <v>145000</v>
      </c>
      <c r="I11" s="19">
        <f t="shared" si="4"/>
        <v>145000</v>
      </c>
      <c r="J11" s="19">
        <f t="shared" si="4"/>
        <v>145000</v>
      </c>
      <c r="K11" s="19">
        <f t="shared" si="4"/>
        <v>145000</v>
      </c>
      <c r="L11" s="19">
        <f t="shared" si="4"/>
        <v>145000</v>
      </c>
      <c r="M11" s="19">
        <f t="shared" si="4"/>
        <v>145000</v>
      </c>
      <c r="N11" s="6">
        <f>SUM(B11:M11)</f>
        <v>1740000</v>
      </c>
      <c r="O11" s="98">
        <v>161119</v>
      </c>
      <c r="P11" s="6">
        <f t="shared" ref="P11:P29" si="5">N11-O11</f>
        <v>1578881</v>
      </c>
      <c r="Q11" s="100" t="s">
        <v>264</v>
      </c>
      <c r="R11" s="100"/>
      <c r="S11" s="100"/>
      <c r="T11" s="100"/>
      <c r="U11" s="106"/>
      <c r="V11" s="106"/>
    </row>
    <row r="12" spans="1:24" x14ac:dyDescent="0.25">
      <c r="A12" s="18" t="s">
        <v>119</v>
      </c>
      <c r="B12" s="19">
        <f>30000*0.6</f>
        <v>18000</v>
      </c>
      <c r="C12" s="19">
        <f t="shared" ref="C12:M12" si="6">30000*0.6</f>
        <v>18000</v>
      </c>
      <c r="D12" s="19">
        <f t="shared" si="6"/>
        <v>18000</v>
      </c>
      <c r="E12" s="19">
        <f t="shared" si="6"/>
        <v>18000</v>
      </c>
      <c r="F12" s="19">
        <f t="shared" si="6"/>
        <v>18000</v>
      </c>
      <c r="G12" s="19">
        <f t="shared" si="6"/>
        <v>18000</v>
      </c>
      <c r="H12" s="19">
        <f t="shared" si="6"/>
        <v>18000</v>
      </c>
      <c r="I12" s="19">
        <f t="shared" si="6"/>
        <v>18000</v>
      </c>
      <c r="J12" s="19">
        <f t="shared" si="6"/>
        <v>18000</v>
      </c>
      <c r="K12" s="19">
        <f t="shared" si="6"/>
        <v>18000</v>
      </c>
      <c r="L12" s="19">
        <f t="shared" si="6"/>
        <v>18000</v>
      </c>
      <c r="M12" s="19">
        <f t="shared" si="6"/>
        <v>18000</v>
      </c>
      <c r="N12" s="6">
        <f t="shared" ref="N12:N29" si="7">SUM(B12:M12)</f>
        <v>216000</v>
      </c>
      <c r="O12" s="98">
        <v>0</v>
      </c>
      <c r="P12" s="6">
        <f t="shared" si="5"/>
        <v>216000</v>
      </c>
      <c r="U12" s="46"/>
      <c r="V12" s="46" t="e">
        <f>N12/O12-1</f>
        <v>#DIV/0!</v>
      </c>
    </row>
    <row r="13" spans="1:24" x14ac:dyDescent="0.25">
      <c r="A13" s="18" t="s">
        <v>120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6">
        <f t="shared" si="7"/>
        <v>0</v>
      </c>
      <c r="O13" s="98">
        <v>0</v>
      </c>
      <c r="P13" s="6">
        <f t="shared" si="5"/>
        <v>0</v>
      </c>
      <c r="Q13" s="23"/>
      <c r="R13" s="23"/>
      <c r="S13" s="23"/>
      <c r="T13" s="23"/>
      <c r="U13" s="23"/>
      <c r="V13" s="46" t="e">
        <f>N13/O13-1</f>
        <v>#DIV/0!</v>
      </c>
    </row>
    <row r="14" spans="1:24" x14ac:dyDescent="0.25">
      <c r="A14" s="18" t="s">
        <v>121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6">
        <f t="shared" si="7"/>
        <v>0</v>
      </c>
      <c r="O14" s="98">
        <v>0</v>
      </c>
      <c r="P14" s="6">
        <f t="shared" si="5"/>
        <v>0</v>
      </c>
      <c r="Q14" s="23"/>
      <c r="R14" s="23"/>
      <c r="S14" s="23"/>
      <c r="T14" s="23"/>
      <c r="U14" s="23"/>
      <c r="V14" s="46" t="e">
        <f>N14/O14-1</f>
        <v>#DIV/0!</v>
      </c>
    </row>
    <row r="15" spans="1:24" x14ac:dyDescent="0.25">
      <c r="A15" s="18" t="s">
        <v>12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6">
        <f>SUM(B15:M15)</f>
        <v>0</v>
      </c>
      <c r="O15" s="98">
        <v>0</v>
      </c>
      <c r="P15" s="6">
        <f t="shared" si="5"/>
        <v>0</v>
      </c>
      <c r="Q15" s="23"/>
      <c r="R15" s="23"/>
      <c r="S15" s="23"/>
      <c r="T15" s="23"/>
      <c r="U15" s="23"/>
      <c r="V15" s="46" t="e">
        <f t="shared" ref="V15:V18" si="8">N15/O15-1</f>
        <v>#DIV/0!</v>
      </c>
    </row>
    <row r="16" spans="1:24" x14ac:dyDescent="0.25">
      <c r="A16" s="18" t="s">
        <v>13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6">
        <f t="shared" si="7"/>
        <v>0</v>
      </c>
      <c r="O16" s="98">
        <v>0</v>
      </c>
      <c r="P16" s="6">
        <f t="shared" si="5"/>
        <v>0</v>
      </c>
      <c r="Q16" s="23"/>
      <c r="R16" s="23"/>
      <c r="S16" s="23"/>
      <c r="T16" s="23"/>
      <c r="U16" s="23"/>
      <c r="V16" s="107" t="e">
        <f>N16/O16-1</f>
        <v>#DIV/0!</v>
      </c>
      <c r="W16" s="23"/>
      <c r="X16" s="23"/>
    </row>
    <row r="17" spans="1:24" x14ac:dyDescent="0.25">
      <c r="A17" s="18" t="s">
        <v>14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6">
        <f>SUM(B17:M17)</f>
        <v>0</v>
      </c>
      <c r="O17" s="98">
        <v>0</v>
      </c>
      <c r="P17" s="6">
        <f t="shared" si="5"/>
        <v>0</v>
      </c>
      <c r="Q17" s="23"/>
      <c r="R17" s="23"/>
      <c r="S17" s="23"/>
      <c r="T17" s="23"/>
      <c r="U17" s="23"/>
      <c r="V17" s="107" t="e">
        <f t="shared" si="8"/>
        <v>#DIV/0!</v>
      </c>
      <c r="W17" s="23"/>
      <c r="X17" s="23"/>
    </row>
    <row r="18" spans="1:24" x14ac:dyDescent="0.25">
      <c r="A18" s="18" t="s">
        <v>122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6">
        <f t="shared" si="7"/>
        <v>0</v>
      </c>
      <c r="O18" s="98">
        <v>0</v>
      </c>
      <c r="P18" s="6">
        <f t="shared" si="5"/>
        <v>0</v>
      </c>
      <c r="Q18" s="23"/>
      <c r="R18" s="23"/>
      <c r="S18" s="23"/>
      <c r="T18" s="23"/>
      <c r="U18" s="23"/>
      <c r="V18" s="46" t="e">
        <f t="shared" si="8"/>
        <v>#DIV/0!</v>
      </c>
    </row>
    <row r="19" spans="1:24" x14ac:dyDescent="0.25">
      <c r="A19" s="18" t="s">
        <v>124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6">
        <f t="shared" si="7"/>
        <v>0</v>
      </c>
      <c r="O19" s="98">
        <v>0</v>
      </c>
      <c r="P19" s="6">
        <f t="shared" si="5"/>
        <v>0</v>
      </c>
      <c r="Q19" s="23"/>
      <c r="R19" s="23"/>
      <c r="S19" s="23"/>
      <c r="T19" s="23"/>
      <c r="U19" s="23"/>
      <c r="V19" s="46" t="e">
        <f>N19/O19-1</f>
        <v>#DIV/0!</v>
      </c>
    </row>
    <row r="20" spans="1:24" x14ac:dyDescent="0.25">
      <c r="A20" s="18" t="s">
        <v>129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6">
        <f t="shared" si="7"/>
        <v>0</v>
      </c>
      <c r="O20" s="98">
        <v>0</v>
      </c>
      <c r="P20" s="6">
        <f t="shared" si="5"/>
        <v>0</v>
      </c>
      <c r="Q20" s="23"/>
      <c r="R20" s="23"/>
      <c r="S20" s="23"/>
      <c r="T20" s="23"/>
      <c r="U20" s="23"/>
    </row>
    <row r="21" spans="1:24" x14ac:dyDescent="0.25">
      <c r="A21" s="18" t="s">
        <v>123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6">
        <f t="shared" si="7"/>
        <v>0</v>
      </c>
      <c r="O21" s="98">
        <v>0</v>
      </c>
      <c r="P21" s="6">
        <f t="shared" si="5"/>
        <v>0</v>
      </c>
    </row>
    <row r="22" spans="1:24" x14ac:dyDescent="0.25">
      <c r="A22" s="18" t="s">
        <v>128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6">
        <f t="shared" si="7"/>
        <v>0</v>
      </c>
      <c r="O22" s="98">
        <v>0</v>
      </c>
      <c r="P22" s="6">
        <f t="shared" si="5"/>
        <v>0</v>
      </c>
    </row>
    <row r="23" spans="1:24" x14ac:dyDescent="0.25">
      <c r="A23" s="18" t="s">
        <v>127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6">
        <f t="shared" si="7"/>
        <v>0</v>
      </c>
      <c r="O23" s="98">
        <v>0</v>
      </c>
      <c r="P23" s="6">
        <f t="shared" si="5"/>
        <v>0</v>
      </c>
    </row>
    <row r="24" spans="1:24" x14ac:dyDescent="0.25">
      <c r="A24" s="18" t="s">
        <v>20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6">
        <f t="shared" si="7"/>
        <v>0</v>
      </c>
      <c r="O24" s="98">
        <v>0</v>
      </c>
      <c r="P24" s="6">
        <f t="shared" si="5"/>
        <v>0</v>
      </c>
    </row>
    <row r="25" spans="1:24" x14ac:dyDescent="0.25">
      <c r="A25" s="18" t="s">
        <v>118</v>
      </c>
      <c r="B25" s="19">
        <f>4000*2</f>
        <v>8000</v>
      </c>
      <c r="C25" s="19">
        <f t="shared" ref="C25:M25" si="9">4000*2</f>
        <v>8000</v>
      </c>
      <c r="D25" s="19">
        <f t="shared" si="9"/>
        <v>8000</v>
      </c>
      <c r="E25" s="19">
        <f t="shared" si="9"/>
        <v>8000</v>
      </c>
      <c r="F25" s="19">
        <f t="shared" si="9"/>
        <v>8000</v>
      </c>
      <c r="G25" s="19">
        <f t="shared" si="9"/>
        <v>8000</v>
      </c>
      <c r="H25" s="19">
        <f t="shared" si="9"/>
        <v>8000</v>
      </c>
      <c r="I25" s="19">
        <f t="shared" si="9"/>
        <v>8000</v>
      </c>
      <c r="J25" s="19">
        <f t="shared" si="9"/>
        <v>8000</v>
      </c>
      <c r="K25" s="19">
        <f t="shared" si="9"/>
        <v>8000</v>
      </c>
      <c r="L25" s="19">
        <f t="shared" si="9"/>
        <v>8000</v>
      </c>
      <c r="M25" s="19">
        <f t="shared" si="9"/>
        <v>8000</v>
      </c>
      <c r="N25" s="6">
        <f t="shared" si="7"/>
        <v>96000</v>
      </c>
      <c r="O25" s="98">
        <v>19434</v>
      </c>
      <c r="P25" s="6">
        <f t="shared" si="5"/>
        <v>76566</v>
      </c>
      <c r="Q25" s="100" t="s">
        <v>265</v>
      </c>
      <c r="R25" s="100"/>
      <c r="S25" s="100"/>
      <c r="T25" s="100"/>
    </row>
    <row r="26" spans="1:24" x14ac:dyDescent="0.25">
      <c r="A26" s="18" t="s">
        <v>126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6">
        <f t="shared" si="7"/>
        <v>0</v>
      </c>
      <c r="O26" s="98">
        <v>0</v>
      </c>
      <c r="P26" s="6">
        <f t="shared" si="5"/>
        <v>0</v>
      </c>
    </row>
    <row r="27" spans="1:24" x14ac:dyDescent="0.25">
      <c r="A27" s="18" t="s">
        <v>198</v>
      </c>
      <c r="B27" s="19">
        <f>-'הנהלה וכלליות'!B22</f>
        <v>33500</v>
      </c>
      <c r="C27" s="19">
        <f>-'הנהלה וכלליות'!C22</f>
        <v>33500</v>
      </c>
      <c r="D27" s="19">
        <f>-'הנהלה וכלליות'!D22</f>
        <v>33500</v>
      </c>
      <c r="E27" s="19">
        <f>-'הנהלה וכלליות'!E22</f>
        <v>33500</v>
      </c>
      <c r="F27" s="19">
        <f>-'הנהלה וכלליות'!F22</f>
        <v>33500</v>
      </c>
      <c r="G27" s="19">
        <f>-'הנהלה וכלליות'!G22</f>
        <v>33500</v>
      </c>
      <c r="H27" s="19">
        <f>-'הנהלה וכלליות'!H22</f>
        <v>33500</v>
      </c>
      <c r="I27" s="19">
        <f>-'הנהלה וכלליות'!I22</f>
        <v>33500</v>
      </c>
      <c r="J27" s="19">
        <f>-'הנהלה וכלליות'!J22</f>
        <v>33500</v>
      </c>
      <c r="K27" s="19">
        <f>-'הנהלה וכלליות'!K22</f>
        <v>33500</v>
      </c>
      <c r="L27" s="19">
        <f>-'הנהלה וכלליות'!L22</f>
        <v>33500</v>
      </c>
      <c r="M27" s="19">
        <f>-'הנהלה וכלליות'!M22</f>
        <v>33500</v>
      </c>
      <c r="N27" s="6">
        <f t="shared" si="7"/>
        <v>402000</v>
      </c>
      <c r="O27" s="98">
        <f>-'הנהלה וכלליות'!O22</f>
        <v>342273</v>
      </c>
      <c r="P27" s="6">
        <f t="shared" si="5"/>
        <v>59727</v>
      </c>
      <c r="Q27" s="23"/>
      <c r="R27" s="23"/>
      <c r="S27" s="23"/>
      <c r="T27" s="23"/>
      <c r="U27" s="23"/>
      <c r="V27" s="23"/>
    </row>
    <row r="28" spans="1:24" x14ac:dyDescent="0.25">
      <c r="A28" s="115" t="s">
        <v>266</v>
      </c>
      <c r="B28" s="28">
        <f>85000*0</f>
        <v>0</v>
      </c>
      <c r="C28" s="28">
        <f t="shared" ref="C28:M28" si="10">85000*0</f>
        <v>0</v>
      </c>
      <c r="D28" s="28">
        <f t="shared" si="10"/>
        <v>0</v>
      </c>
      <c r="E28" s="28">
        <f t="shared" si="10"/>
        <v>0</v>
      </c>
      <c r="F28" s="28">
        <f t="shared" si="10"/>
        <v>0</v>
      </c>
      <c r="G28" s="28">
        <f t="shared" si="10"/>
        <v>0</v>
      </c>
      <c r="H28" s="28">
        <f t="shared" si="10"/>
        <v>0</v>
      </c>
      <c r="I28" s="28">
        <f t="shared" si="10"/>
        <v>0</v>
      </c>
      <c r="J28" s="28">
        <f t="shared" si="10"/>
        <v>0</v>
      </c>
      <c r="K28" s="28">
        <f t="shared" si="10"/>
        <v>0</v>
      </c>
      <c r="L28" s="28">
        <f t="shared" si="10"/>
        <v>0</v>
      </c>
      <c r="M28" s="28">
        <f t="shared" si="10"/>
        <v>0</v>
      </c>
      <c r="N28" s="6">
        <f t="shared" si="7"/>
        <v>0</v>
      </c>
      <c r="O28" s="98">
        <v>0</v>
      </c>
      <c r="P28" s="6">
        <f t="shared" si="5"/>
        <v>0</v>
      </c>
      <c r="Q28" s="23"/>
      <c r="R28" s="23"/>
      <c r="S28" s="23"/>
      <c r="T28" s="23"/>
      <c r="U28" s="23"/>
      <c r="V28" s="23"/>
    </row>
    <row r="29" spans="1:24" ht="15.75" thickBot="1" x14ac:dyDescent="0.3">
      <c r="A29" s="18"/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6">
        <f t="shared" si="7"/>
        <v>0</v>
      </c>
      <c r="O29" s="98">
        <v>0</v>
      </c>
      <c r="P29" s="6">
        <f t="shared" si="5"/>
        <v>0</v>
      </c>
    </row>
    <row r="30" spans="1:24" s="1" customFormat="1" ht="15.75" thickBot="1" x14ac:dyDescent="0.3">
      <c r="A30" s="7" t="s">
        <v>1</v>
      </c>
      <c r="B30" s="11">
        <f t="shared" ref="B30:P30" si="11">SUM(B11:B29)</f>
        <v>204500</v>
      </c>
      <c r="C30" s="11">
        <f t="shared" si="11"/>
        <v>204500</v>
      </c>
      <c r="D30" s="11">
        <f t="shared" si="11"/>
        <v>204500</v>
      </c>
      <c r="E30" s="11">
        <f t="shared" si="11"/>
        <v>204500</v>
      </c>
      <c r="F30" s="11">
        <f t="shared" si="11"/>
        <v>204500</v>
      </c>
      <c r="G30" s="11">
        <f t="shared" si="11"/>
        <v>204500</v>
      </c>
      <c r="H30" s="11">
        <f t="shared" si="11"/>
        <v>204500</v>
      </c>
      <c r="I30" s="11">
        <f t="shared" si="11"/>
        <v>204500</v>
      </c>
      <c r="J30" s="11">
        <f t="shared" si="11"/>
        <v>204500</v>
      </c>
      <c r="K30" s="11">
        <f t="shared" si="11"/>
        <v>204500</v>
      </c>
      <c r="L30" s="11">
        <f t="shared" si="11"/>
        <v>204500</v>
      </c>
      <c r="M30" s="12">
        <f t="shared" si="11"/>
        <v>204500</v>
      </c>
      <c r="N30" s="13">
        <f t="shared" si="11"/>
        <v>2454000</v>
      </c>
      <c r="O30" s="13">
        <f t="shared" si="11"/>
        <v>522826</v>
      </c>
      <c r="P30" s="13">
        <f t="shared" si="11"/>
        <v>1931174</v>
      </c>
    </row>
    <row r="31" spans="1:24" ht="15.75" thickBot="1" x14ac:dyDescent="0.3"/>
    <row r="32" spans="1:24" s="1" customFormat="1" ht="15.75" thickBot="1" x14ac:dyDescent="0.3">
      <c r="A32" s="24" t="s">
        <v>114</v>
      </c>
      <c r="B32" s="25">
        <f t="shared" ref="B32:P32" si="12">B6-B30</f>
        <v>0</v>
      </c>
      <c r="C32" s="25">
        <f t="shared" si="12"/>
        <v>0</v>
      </c>
      <c r="D32" s="25">
        <f t="shared" si="12"/>
        <v>0</v>
      </c>
      <c r="E32" s="25">
        <f t="shared" si="12"/>
        <v>0</v>
      </c>
      <c r="F32" s="25">
        <f t="shared" si="12"/>
        <v>0</v>
      </c>
      <c r="G32" s="25">
        <f t="shared" si="12"/>
        <v>0</v>
      </c>
      <c r="H32" s="25">
        <f t="shared" si="12"/>
        <v>0</v>
      </c>
      <c r="I32" s="25">
        <f t="shared" si="12"/>
        <v>0</v>
      </c>
      <c r="J32" s="25">
        <f t="shared" si="12"/>
        <v>0</v>
      </c>
      <c r="K32" s="25">
        <f t="shared" si="12"/>
        <v>0</v>
      </c>
      <c r="L32" s="25">
        <f t="shared" si="12"/>
        <v>0</v>
      </c>
      <c r="M32" s="26">
        <f t="shared" si="12"/>
        <v>0</v>
      </c>
      <c r="N32" s="27">
        <f t="shared" si="12"/>
        <v>0</v>
      </c>
      <c r="O32" s="27">
        <f t="shared" si="12"/>
        <v>0</v>
      </c>
      <c r="P32" s="27">
        <f t="shared" si="12"/>
        <v>0</v>
      </c>
    </row>
    <row r="34" spans="14:16" x14ac:dyDescent="0.25">
      <c r="N34" s="14"/>
      <c r="O34" s="14"/>
      <c r="P34" s="14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16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showGridLines="0" rightToLeft="1" zoomScaleNormal="100" workbookViewId="0">
      <selection activeCell="A11" sqref="A11"/>
    </sheetView>
  </sheetViews>
  <sheetFormatPr defaultRowHeight="15" x14ac:dyDescent="0.25"/>
  <cols>
    <col min="1" max="1" width="33.25" customWidth="1"/>
    <col min="2" max="13" width="10.875" bestFit="1" customWidth="1"/>
    <col min="14" max="16" width="12.375" style="1" bestFit="1" customWidth="1"/>
  </cols>
  <sheetData>
    <row r="1" spans="1:22" ht="21.75" customHeight="1" thickBot="1" x14ac:dyDescent="0.3">
      <c r="A1" s="10" t="s">
        <v>268</v>
      </c>
    </row>
    <row r="2" spans="1:22" x14ac:dyDescent="0.25">
      <c r="A2" s="18"/>
      <c r="B2" s="8" t="s">
        <v>63</v>
      </c>
      <c r="C2" s="8" t="s">
        <v>64</v>
      </c>
      <c r="D2" s="8" t="s">
        <v>65</v>
      </c>
      <c r="E2" s="8" t="s">
        <v>66</v>
      </c>
      <c r="F2" s="8" t="s">
        <v>67</v>
      </c>
      <c r="G2" s="8" t="s">
        <v>68</v>
      </c>
      <c r="H2" s="8" t="s">
        <v>69</v>
      </c>
      <c r="I2" s="8" t="s">
        <v>70</v>
      </c>
      <c r="J2" s="8" t="s">
        <v>71</v>
      </c>
      <c r="K2" s="8" t="s">
        <v>72</v>
      </c>
      <c r="L2" s="8" t="s">
        <v>73</v>
      </c>
      <c r="M2" s="9" t="s">
        <v>74</v>
      </c>
      <c r="N2" s="5" t="s">
        <v>233</v>
      </c>
      <c r="O2" s="5" t="s">
        <v>113</v>
      </c>
      <c r="P2" s="5" t="s">
        <v>215</v>
      </c>
    </row>
    <row r="3" spans="1:22" x14ac:dyDescent="0.25">
      <c r="A3" s="18" t="s">
        <v>270</v>
      </c>
      <c r="B3" s="19">
        <v>0</v>
      </c>
      <c r="C3" s="19">
        <v>0</v>
      </c>
      <c r="D3" s="19">
        <v>0</v>
      </c>
      <c r="E3" s="19">
        <v>0</v>
      </c>
      <c r="F3" s="19">
        <v>0</v>
      </c>
      <c r="G3" s="19">
        <v>0</v>
      </c>
      <c r="H3" s="19">
        <v>0</v>
      </c>
      <c r="I3" s="28">
        <f>4500*20*0</f>
        <v>0</v>
      </c>
      <c r="J3" s="28">
        <f t="shared" ref="J3:M3" si="0">4500*20*0</f>
        <v>0</v>
      </c>
      <c r="K3" s="28">
        <f t="shared" si="0"/>
        <v>0</v>
      </c>
      <c r="L3" s="28">
        <f t="shared" si="0"/>
        <v>0</v>
      </c>
      <c r="M3" s="28">
        <f t="shared" si="0"/>
        <v>0</v>
      </c>
      <c r="N3" s="6">
        <f>SUM(B3:M3)</f>
        <v>0</v>
      </c>
      <c r="O3" s="98">
        <v>0</v>
      </c>
      <c r="P3" s="6">
        <f>N3-O3</f>
        <v>0</v>
      </c>
      <c r="Q3" t="s">
        <v>273</v>
      </c>
    </row>
    <row r="4" spans="1:22" x14ac:dyDescent="0.25">
      <c r="A4" s="18" t="s">
        <v>271</v>
      </c>
      <c r="B4" s="19">
        <v>0</v>
      </c>
      <c r="C4" s="19">
        <v>0</v>
      </c>
      <c r="D4" s="19">
        <v>0</v>
      </c>
      <c r="E4" s="19">
        <v>0</v>
      </c>
      <c r="F4" s="19">
        <v>0</v>
      </c>
      <c r="G4" s="19">
        <v>0</v>
      </c>
      <c r="H4" s="19">
        <v>0</v>
      </c>
      <c r="I4" s="28">
        <f>600*20*0</f>
        <v>0</v>
      </c>
      <c r="J4" s="28">
        <f t="shared" ref="J4:M4" si="1">600*20*0</f>
        <v>0</v>
      </c>
      <c r="K4" s="28">
        <f t="shared" si="1"/>
        <v>0</v>
      </c>
      <c r="L4" s="28">
        <f t="shared" si="1"/>
        <v>0</v>
      </c>
      <c r="M4" s="28">
        <f t="shared" si="1"/>
        <v>0</v>
      </c>
      <c r="N4" s="6">
        <f>SUM(B4:M4)</f>
        <v>0</v>
      </c>
      <c r="O4" s="98">
        <v>0</v>
      </c>
      <c r="P4" s="6">
        <f t="shared" ref="P4:P9" si="2">N4-O4</f>
        <v>0</v>
      </c>
    </row>
    <row r="5" spans="1:22" x14ac:dyDescent="0.25">
      <c r="A5" s="18" t="s">
        <v>272</v>
      </c>
      <c r="B5" s="19">
        <v>0</v>
      </c>
      <c r="C5" s="19">
        <v>0</v>
      </c>
      <c r="D5" s="19">
        <v>0</v>
      </c>
      <c r="E5" s="19">
        <v>0</v>
      </c>
      <c r="F5" s="19">
        <v>0</v>
      </c>
      <c r="G5" s="19">
        <v>0</v>
      </c>
      <c r="H5" s="19">
        <v>0</v>
      </c>
      <c r="I5" s="28">
        <f>90*400*0</f>
        <v>0</v>
      </c>
      <c r="J5" s="28">
        <f t="shared" ref="J5:M5" si="3">90*400*0</f>
        <v>0</v>
      </c>
      <c r="K5" s="28">
        <f t="shared" si="3"/>
        <v>0</v>
      </c>
      <c r="L5" s="28">
        <f t="shared" si="3"/>
        <v>0</v>
      </c>
      <c r="M5" s="28">
        <f t="shared" si="3"/>
        <v>0</v>
      </c>
      <c r="N5" s="6">
        <f t="shared" ref="N5:N9" si="4">SUM(B5:M5)</f>
        <v>0</v>
      </c>
      <c r="O5" s="98">
        <v>0</v>
      </c>
      <c r="P5" s="6">
        <f t="shared" si="2"/>
        <v>0</v>
      </c>
      <c r="Q5" t="s">
        <v>274</v>
      </c>
    </row>
    <row r="6" spans="1:22" x14ac:dyDescent="0.25">
      <c r="A6" s="18" t="s">
        <v>275</v>
      </c>
      <c r="B6" s="19">
        <v>0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28">
        <f>2*1000*0</f>
        <v>0</v>
      </c>
      <c r="J6" s="28">
        <f t="shared" ref="J6:M6" si="5">2*1000*0</f>
        <v>0</v>
      </c>
      <c r="K6" s="28">
        <f t="shared" si="5"/>
        <v>0</v>
      </c>
      <c r="L6" s="28">
        <f t="shared" si="5"/>
        <v>0</v>
      </c>
      <c r="M6" s="28">
        <f t="shared" si="5"/>
        <v>0</v>
      </c>
      <c r="N6" s="6">
        <f t="shared" si="4"/>
        <v>0</v>
      </c>
      <c r="O6" s="98">
        <v>0</v>
      </c>
      <c r="P6" s="6">
        <f t="shared" si="2"/>
        <v>0</v>
      </c>
    </row>
    <row r="7" spans="1:22" x14ac:dyDescent="0.25">
      <c r="A7" s="18" t="s">
        <v>276</v>
      </c>
      <c r="B7" s="19">
        <v>0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28">
        <f>5000*0</f>
        <v>0</v>
      </c>
      <c r="J7" s="28">
        <f t="shared" ref="J7:M7" si="6">5000*0</f>
        <v>0</v>
      </c>
      <c r="K7" s="28">
        <f t="shared" si="6"/>
        <v>0</v>
      </c>
      <c r="L7" s="28">
        <f t="shared" si="6"/>
        <v>0</v>
      </c>
      <c r="M7" s="28">
        <f t="shared" si="6"/>
        <v>0</v>
      </c>
      <c r="N7" s="6">
        <f t="shared" si="4"/>
        <v>0</v>
      </c>
      <c r="O7" s="98">
        <v>0</v>
      </c>
      <c r="P7" s="6">
        <f t="shared" si="2"/>
        <v>0</v>
      </c>
    </row>
    <row r="8" spans="1:22" x14ac:dyDescent="0.25">
      <c r="A8" s="43" t="s">
        <v>277</v>
      </c>
      <c r="B8" s="109">
        <v>0</v>
      </c>
      <c r="C8" s="109">
        <v>0</v>
      </c>
      <c r="D8" s="109">
        <v>0</v>
      </c>
      <c r="E8" s="109">
        <v>0</v>
      </c>
      <c r="F8" s="109">
        <v>0</v>
      </c>
      <c r="G8" s="109">
        <v>0</v>
      </c>
      <c r="H8" s="109">
        <v>0</v>
      </c>
      <c r="I8" s="118">
        <f>8000*0</f>
        <v>0</v>
      </c>
      <c r="J8" s="118">
        <f t="shared" ref="J8:M8" si="7">8000*0</f>
        <v>0</v>
      </c>
      <c r="K8" s="118">
        <f t="shared" si="7"/>
        <v>0</v>
      </c>
      <c r="L8" s="118">
        <f t="shared" si="7"/>
        <v>0</v>
      </c>
      <c r="M8" s="118">
        <f t="shared" si="7"/>
        <v>0</v>
      </c>
      <c r="N8" s="6">
        <f t="shared" si="4"/>
        <v>0</v>
      </c>
      <c r="O8" s="98">
        <v>0</v>
      </c>
      <c r="P8" s="6">
        <f t="shared" si="2"/>
        <v>0</v>
      </c>
    </row>
    <row r="9" spans="1:22" ht="15.75" thickBot="1" x14ac:dyDescent="0.3">
      <c r="A9" s="43" t="s">
        <v>278</v>
      </c>
      <c r="B9" s="109">
        <v>0</v>
      </c>
      <c r="C9" s="109">
        <v>0</v>
      </c>
      <c r="D9" s="109">
        <v>0</v>
      </c>
      <c r="E9" s="109">
        <v>0</v>
      </c>
      <c r="F9" s="109">
        <v>0</v>
      </c>
      <c r="G9" s="109">
        <v>0</v>
      </c>
      <c r="H9" s="109">
        <v>0</v>
      </c>
      <c r="I9" s="118">
        <f>4000*0</f>
        <v>0</v>
      </c>
      <c r="J9" s="118">
        <f t="shared" ref="J9:M9" si="8">4000*0</f>
        <v>0</v>
      </c>
      <c r="K9" s="118">
        <f t="shared" si="8"/>
        <v>0</v>
      </c>
      <c r="L9" s="118">
        <f t="shared" si="8"/>
        <v>0</v>
      </c>
      <c r="M9" s="118">
        <f t="shared" si="8"/>
        <v>0</v>
      </c>
      <c r="N9" s="6">
        <f t="shared" si="4"/>
        <v>0</v>
      </c>
      <c r="O9" s="98">
        <v>0</v>
      </c>
      <c r="P9" s="6">
        <f t="shared" si="2"/>
        <v>0</v>
      </c>
    </row>
    <row r="10" spans="1:22" s="1" customFormat="1" ht="15.75" thickBot="1" x14ac:dyDescent="0.3">
      <c r="A10" s="7" t="s">
        <v>0</v>
      </c>
      <c r="B10" s="11">
        <f t="shared" ref="B10:P10" si="9">SUM(B3:B9)</f>
        <v>0</v>
      </c>
      <c r="C10" s="11">
        <f t="shared" si="9"/>
        <v>0</v>
      </c>
      <c r="D10" s="11">
        <f t="shared" si="9"/>
        <v>0</v>
      </c>
      <c r="E10" s="11">
        <f t="shared" si="9"/>
        <v>0</v>
      </c>
      <c r="F10" s="11">
        <f t="shared" si="9"/>
        <v>0</v>
      </c>
      <c r="G10" s="11">
        <f t="shared" si="9"/>
        <v>0</v>
      </c>
      <c r="H10" s="11">
        <f t="shared" si="9"/>
        <v>0</v>
      </c>
      <c r="I10" s="11">
        <f t="shared" si="9"/>
        <v>0</v>
      </c>
      <c r="J10" s="11">
        <f t="shared" si="9"/>
        <v>0</v>
      </c>
      <c r="K10" s="11">
        <f t="shared" si="9"/>
        <v>0</v>
      </c>
      <c r="L10" s="11">
        <f t="shared" si="9"/>
        <v>0</v>
      </c>
      <c r="M10" s="11">
        <f t="shared" si="9"/>
        <v>0</v>
      </c>
      <c r="N10" s="11">
        <f t="shared" si="9"/>
        <v>0</v>
      </c>
      <c r="O10" s="11">
        <f t="shared" si="9"/>
        <v>0</v>
      </c>
      <c r="P10" s="11">
        <f t="shared" si="9"/>
        <v>0</v>
      </c>
    </row>
    <row r="13" spans="1:22" ht="21.75" customHeight="1" thickBot="1" x14ac:dyDescent="0.3">
      <c r="A13" s="10" t="s">
        <v>269</v>
      </c>
    </row>
    <row r="14" spans="1:22" x14ac:dyDescent="0.25">
      <c r="A14" s="4"/>
      <c r="B14" s="8" t="s">
        <v>63</v>
      </c>
      <c r="C14" s="8" t="s">
        <v>64</v>
      </c>
      <c r="D14" s="8" t="s">
        <v>65</v>
      </c>
      <c r="E14" s="8" t="s">
        <v>66</v>
      </c>
      <c r="F14" s="8" t="s">
        <v>67</v>
      </c>
      <c r="G14" s="8" t="s">
        <v>68</v>
      </c>
      <c r="H14" s="8" t="s">
        <v>69</v>
      </c>
      <c r="I14" s="8" t="s">
        <v>70</v>
      </c>
      <c r="J14" s="8" t="s">
        <v>71</v>
      </c>
      <c r="K14" s="8" t="s">
        <v>72</v>
      </c>
      <c r="L14" s="8" t="s">
        <v>73</v>
      </c>
      <c r="M14" s="9" t="s">
        <v>74</v>
      </c>
      <c r="N14" s="5" t="str">
        <f>N2</f>
        <v>סה"כ 2018</v>
      </c>
      <c r="O14" s="5" t="str">
        <f>O2</f>
        <v>סה"כ 2017</v>
      </c>
      <c r="P14" s="5" t="s">
        <v>215</v>
      </c>
    </row>
    <row r="15" spans="1:22" x14ac:dyDescent="0.25">
      <c r="A15" s="15" t="s">
        <v>8</v>
      </c>
      <c r="B15" s="19"/>
      <c r="C15" s="19"/>
      <c r="D15" s="19"/>
      <c r="E15" s="19"/>
      <c r="F15" s="19"/>
      <c r="G15" s="19"/>
      <c r="H15" s="19"/>
      <c r="I15" s="28"/>
      <c r="J15" s="28"/>
      <c r="K15" s="28"/>
      <c r="L15" s="28"/>
      <c r="M15" s="119"/>
      <c r="N15" s="6">
        <f>SUM(B15:M15)</f>
        <v>0</v>
      </c>
      <c r="O15" s="98">
        <v>0</v>
      </c>
      <c r="P15" s="6">
        <f t="shared" ref="P15:P35" si="10">N15-O15</f>
        <v>0</v>
      </c>
      <c r="Q15" s="100" t="s">
        <v>244</v>
      </c>
      <c r="R15" s="100"/>
      <c r="S15" s="100"/>
      <c r="T15" s="100"/>
      <c r="U15" s="106"/>
      <c r="V15" s="46" t="e">
        <f>N15/O15-1</f>
        <v>#DIV/0!</v>
      </c>
    </row>
    <row r="16" spans="1:22" x14ac:dyDescent="0.25">
      <c r="A16" s="15" t="s">
        <v>10</v>
      </c>
      <c r="B16" s="19"/>
      <c r="C16" s="19"/>
      <c r="D16" s="19"/>
      <c r="E16" s="19"/>
      <c r="F16" s="19"/>
      <c r="G16" s="19"/>
      <c r="H16" s="19"/>
      <c r="I16" s="28"/>
      <c r="J16" s="28"/>
      <c r="K16" s="28"/>
      <c r="L16" s="28"/>
      <c r="M16" s="28"/>
      <c r="N16" s="6">
        <f t="shared" ref="N16:N35" si="11">SUM(B16:M16)</f>
        <v>0</v>
      </c>
      <c r="O16" s="98">
        <v>0</v>
      </c>
      <c r="P16" s="6">
        <f t="shared" si="10"/>
        <v>0</v>
      </c>
      <c r="Q16" s="100" t="s">
        <v>199</v>
      </c>
      <c r="R16" s="100"/>
      <c r="S16" s="100"/>
      <c r="V16" s="46" t="e">
        <f>N16/O16-1</f>
        <v>#DIV/0!</v>
      </c>
    </row>
    <row r="17" spans="1:24" x14ac:dyDescent="0.25">
      <c r="A17" s="15" t="s">
        <v>11</v>
      </c>
      <c r="B17" s="19"/>
      <c r="C17" s="19"/>
      <c r="D17" s="19"/>
      <c r="E17" s="19"/>
      <c r="F17" s="19"/>
      <c r="G17" s="19"/>
      <c r="H17" s="19"/>
      <c r="I17" s="28"/>
      <c r="J17" s="28"/>
      <c r="K17" s="28"/>
      <c r="L17" s="28"/>
      <c r="M17" s="28"/>
      <c r="N17" s="6">
        <f t="shared" si="11"/>
        <v>0</v>
      </c>
      <c r="O17" s="98">
        <v>0</v>
      </c>
      <c r="P17" s="6">
        <f t="shared" si="10"/>
        <v>0</v>
      </c>
      <c r="Q17" s="100" t="s">
        <v>199</v>
      </c>
      <c r="R17" s="100"/>
      <c r="S17" s="100"/>
      <c r="V17" s="46" t="e">
        <f>N17/O17-1</f>
        <v>#DIV/0!</v>
      </c>
    </row>
    <row r="18" spans="1:24" x14ac:dyDescent="0.25">
      <c r="A18" s="15" t="s">
        <v>18</v>
      </c>
      <c r="B18" s="19"/>
      <c r="C18" s="19"/>
      <c r="D18" s="19"/>
      <c r="E18" s="19"/>
      <c r="F18" s="19"/>
      <c r="G18" s="19"/>
      <c r="H18" s="19"/>
      <c r="I18" s="28"/>
      <c r="J18" s="28"/>
      <c r="K18" s="28"/>
      <c r="L18" s="28"/>
      <c r="M18" s="28"/>
      <c r="N18" s="6">
        <f>SUM(B18:M18)</f>
        <v>0</v>
      </c>
      <c r="O18" s="98">
        <v>0</v>
      </c>
      <c r="P18" s="6">
        <f t="shared" si="10"/>
        <v>0</v>
      </c>
      <c r="V18" s="46" t="e">
        <f t="shared" ref="V18:V21" si="12">N18/O18-1</f>
        <v>#DIV/0!</v>
      </c>
    </row>
    <row r="19" spans="1:24" x14ac:dyDescent="0.25">
      <c r="A19" s="15" t="s">
        <v>12</v>
      </c>
      <c r="B19" s="19"/>
      <c r="C19" s="19"/>
      <c r="D19" s="19"/>
      <c r="E19" s="19"/>
      <c r="F19" s="19"/>
      <c r="G19" s="19"/>
      <c r="H19" s="19"/>
      <c r="I19" s="28"/>
      <c r="J19" s="28"/>
      <c r="K19" s="28"/>
      <c r="L19" s="28"/>
      <c r="M19" s="28"/>
      <c r="N19" s="6">
        <f t="shared" si="11"/>
        <v>0</v>
      </c>
      <c r="O19" s="98">
        <v>0</v>
      </c>
      <c r="P19" s="6">
        <f t="shared" si="10"/>
        <v>0</v>
      </c>
      <c r="Q19" s="23"/>
      <c r="R19" s="23"/>
      <c r="S19" s="23"/>
      <c r="T19" s="23"/>
      <c r="U19" s="23"/>
      <c r="V19" s="107" t="e">
        <f>N19/O19-1</f>
        <v>#DIV/0!</v>
      </c>
      <c r="W19" s="23"/>
      <c r="X19" s="23"/>
    </row>
    <row r="20" spans="1:24" x14ac:dyDescent="0.25">
      <c r="A20" s="15" t="s">
        <v>16</v>
      </c>
      <c r="B20" s="19"/>
      <c r="C20" s="19"/>
      <c r="D20" s="19"/>
      <c r="E20" s="19"/>
      <c r="F20" s="19"/>
      <c r="G20" s="19"/>
      <c r="H20" s="19"/>
      <c r="I20" s="28"/>
      <c r="J20" s="28"/>
      <c r="K20" s="28"/>
      <c r="L20" s="28"/>
      <c r="M20" s="119"/>
      <c r="N20" s="6">
        <f>SUM(B20:M20)</f>
        <v>0</v>
      </c>
      <c r="O20" s="98">
        <v>0</v>
      </c>
      <c r="P20" s="6">
        <f t="shared" si="10"/>
        <v>0</v>
      </c>
      <c r="Q20" s="23"/>
      <c r="R20" s="23"/>
      <c r="S20" s="23"/>
      <c r="T20" s="23"/>
      <c r="U20" s="23"/>
      <c r="V20" s="107" t="e">
        <f t="shared" si="12"/>
        <v>#DIV/0!</v>
      </c>
      <c r="W20" s="23"/>
      <c r="X20" s="23"/>
    </row>
    <row r="21" spans="1:24" x14ac:dyDescent="0.25">
      <c r="A21" s="15" t="s">
        <v>13</v>
      </c>
      <c r="B21" s="19"/>
      <c r="C21" s="19"/>
      <c r="D21" s="19"/>
      <c r="E21" s="19"/>
      <c r="F21" s="19"/>
      <c r="G21" s="19"/>
      <c r="H21" s="19"/>
      <c r="I21" s="28"/>
      <c r="J21" s="28"/>
      <c r="K21" s="28"/>
      <c r="L21" s="28"/>
      <c r="M21" s="28"/>
      <c r="N21" s="6">
        <f t="shared" si="11"/>
        <v>0</v>
      </c>
      <c r="O21" s="98">
        <v>0</v>
      </c>
      <c r="P21" s="6">
        <f t="shared" si="10"/>
        <v>0</v>
      </c>
      <c r="V21" s="46" t="e">
        <f t="shared" si="12"/>
        <v>#DIV/0!</v>
      </c>
    </row>
    <row r="22" spans="1:24" x14ac:dyDescent="0.25">
      <c r="A22" s="15" t="s">
        <v>14</v>
      </c>
      <c r="B22" s="19"/>
      <c r="C22" s="19"/>
      <c r="D22" s="19"/>
      <c r="E22" s="19"/>
      <c r="F22" s="19"/>
      <c r="G22" s="19"/>
      <c r="H22" s="19"/>
      <c r="I22" s="28"/>
      <c r="J22" s="28"/>
      <c r="K22" s="28"/>
      <c r="L22" s="28"/>
      <c r="M22" s="28"/>
      <c r="N22" s="6">
        <f t="shared" si="11"/>
        <v>0</v>
      </c>
      <c r="O22" s="98">
        <v>0</v>
      </c>
      <c r="P22" s="6">
        <f t="shared" si="10"/>
        <v>0</v>
      </c>
      <c r="Q22" s="100" t="s">
        <v>245</v>
      </c>
      <c r="R22" s="100"/>
      <c r="S22" s="100"/>
      <c r="V22" s="46" t="e">
        <f>N22/O22-1</f>
        <v>#DIV/0!</v>
      </c>
    </row>
    <row r="23" spans="1:24" x14ac:dyDescent="0.25">
      <c r="A23" s="15" t="s">
        <v>15</v>
      </c>
      <c r="B23" s="19"/>
      <c r="C23" s="19"/>
      <c r="D23" s="19"/>
      <c r="E23" s="19"/>
      <c r="F23" s="19"/>
      <c r="G23" s="19"/>
      <c r="H23" s="19"/>
      <c r="I23" s="28"/>
      <c r="J23" s="28"/>
      <c r="K23" s="28"/>
      <c r="L23" s="28"/>
      <c r="M23" s="28"/>
      <c r="N23" s="6">
        <f t="shared" si="11"/>
        <v>0</v>
      </c>
      <c r="O23" s="98">
        <v>0</v>
      </c>
      <c r="P23" s="6">
        <f t="shared" si="10"/>
        <v>0</v>
      </c>
    </row>
    <row r="24" spans="1:24" x14ac:dyDescent="0.25">
      <c r="A24" s="15" t="s">
        <v>108</v>
      </c>
      <c r="B24" s="19"/>
      <c r="C24" s="19"/>
      <c r="D24" s="19"/>
      <c r="E24" s="19"/>
      <c r="F24" s="19"/>
      <c r="G24" s="19"/>
      <c r="H24" s="19"/>
      <c r="I24" s="28"/>
      <c r="J24" s="28"/>
      <c r="K24" s="28"/>
      <c r="L24" s="28"/>
      <c r="M24" s="28"/>
      <c r="N24" s="6">
        <f t="shared" si="11"/>
        <v>0</v>
      </c>
      <c r="O24" s="98">
        <v>0</v>
      </c>
      <c r="P24" s="6">
        <f t="shared" si="10"/>
        <v>0</v>
      </c>
    </row>
    <row r="25" spans="1:24" x14ac:dyDescent="0.25">
      <c r="A25" s="15" t="s">
        <v>202</v>
      </c>
      <c r="B25" s="19"/>
      <c r="C25" s="19"/>
      <c r="D25" s="19"/>
      <c r="E25" s="19"/>
      <c r="F25" s="19"/>
      <c r="G25" s="19"/>
      <c r="H25" s="19"/>
      <c r="I25" s="28"/>
      <c r="J25" s="28"/>
      <c r="K25" s="28"/>
      <c r="L25" s="28"/>
      <c r="M25" s="28"/>
      <c r="N25" s="6">
        <f t="shared" si="11"/>
        <v>0</v>
      </c>
      <c r="O25" s="98">
        <v>0</v>
      </c>
      <c r="P25" s="6">
        <f t="shared" si="10"/>
        <v>0</v>
      </c>
    </row>
    <row r="26" spans="1:24" x14ac:dyDescent="0.25">
      <c r="A26" s="15" t="s">
        <v>201</v>
      </c>
      <c r="B26" s="19"/>
      <c r="C26" s="19"/>
      <c r="D26" s="19"/>
      <c r="E26" s="19"/>
      <c r="F26" s="19"/>
      <c r="G26" s="19"/>
      <c r="H26" s="19"/>
      <c r="I26" s="28"/>
      <c r="J26" s="28"/>
      <c r="K26" s="28"/>
      <c r="L26" s="28"/>
      <c r="M26" s="28"/>
      <c r="N26" s="6">
        <f t="shared" si="11"/>
        <v>0</v>
      </c>
      <c r="O26" s="98">
        <v>0</v>
      </c>
      <c r="P26" s="6">
        <f t="shared" si="10"/>
        <v>0</v>
      </c>
    </row>
    <row r="27" spans="1:24" x14ac:dyDescent="0.25">
      <c r="A27" s="15" t="s">
        <v>22</v>
      </c>
      <c r="B27" s="19"/>
      <c r="C27" s="19"/>
      <c r="D27" s="19"/>
      <c r="E27" s="19"/>
      <c r="F27" s="19"/>
      <c r="G27" s="19"/>
      <c r="H27" s="19"/>
      <c r="I27" s="28"/>
      <c r="J27" s="28"/>
      <c r="K27" s="28"/>
      <c r="L27" s="28"/>
      <c r="M27" s="119"/>
      <c r="N27" s="6">
        <f t="shared" si="11"/>
        <v>0</v>
      </c>
      <c r="O27" s="98">
        <v>0</v>
      </c>
      <c r="P27" s="6">
        <f t="shared" si="10"/>
        <v>0</v>
      </c>
    </row>
    <row r="28" spans="1:24" x14ac:dyDescent="0.25">
      <c r="A28" s="15" t="s">
        <v>19</v>
      </c>
      <c r="B28" s="19"/>
      <c r="C28" s="19"/>
      <c r="D28" s="19"/>
      <c r="E28" s="19"/>
      <c r="F28" s="19"/>
      <c r="G28" s="19"/>
      <c r="H28" s="19"/>
      <c r="I28" s="28"/>
      <c r="J28" s="28"/>
      <c r="K28" s="28"/>
      <c r="L28" s="28"/>
      <c r="M28" s="28"/>
      <c r="N28" s="6">
        <f t="shared" si="11"/>
        <v>0</v>
      </c>
      <c r="O28" s="98">
        <v>0</v>
      </c>
      <c r="P28" s="6">
        <f t="shared" si="10"/>
        <v>0</v>
      </c>
    </row>
    <row r="29" spans="1:24" x14ac:dyDescent="0.25">
      <c r="A29" s="15" t="s">
        <v>20</v>
      </c>
      <c r="B29" s="19"/>
      <c r="C29" s="19"/>
      <c r="D29" s="19"/>
      <c r="E29" s="19"/>
      <c r="F29" s="19"/>
      <c r="G29" s="19"/>
      <c r="H29" s="19"/>
      <c r="I29" s="28"/>
      <c r="J29" s="28"/>
      <c r="K29" s="28"/>
      <c r="L29" s="28"/>
      <c r="M29" s="28"/>
      <c r="N29" s="6">
        <f t="shared" si="11"/>
        <v>0</v>
      </c>
      <c r="O29" s="98">
        <v>0</v>
      </c>
      <c r="P29" s="6">
        <f t="shared" si="10"/>
        <v>0</v>
      </c>
    </row>
    <row r="30" spans="1:24" x14ac:dyDescent="0.25">
      <c r="A30" s="15" t="s">
        <v>21</v>
      </c>
      <c r="B30" s="19"/>
      <c r="C30" s="19"/>
      <c r="D30" s="19"/>
      <c r="E30" s="19"/>
      <c r="F30" s="19"/>
      <c r="G30" s="19"/>
      <c r="H30" s="19"/>
      <c r="I30" s="28"/>
      <c r="J30" s="28"/>
      <c r="K30" s="28"/>
      <c r="L30" s="28"/>
      <c r="M30" s="28"/>
      <c r="N30" s="6">
        <f t="shared" si="11"/>
        <v>0</v>
      </c>
      <c r="O30" s="98">
        <v>0</v>
      </c>
      <c r="P30" s="6">
        <f t="shared" si="10"/>
        <v>0</v>
      </c>
      <c r="Q30" s="100" t="s">
        <v>247</v>
      </c>
      <c r="R30" s="100"/>
      <c r="S30" s="100"/>
      <c r="T30" s="100"/>
      <c r="U30" s="23"/>
      <c r="V30" s="23"/>
    </row>
    <row r="31" spans="1:24" x14ac:dyDescent="0.25">
      <c r="A31" s="15" t="s">
        <v>118</v>
      </c>
      <c r="B31" s="19"/>
      <c r="C31" s="19"/>
      <c r="D31" s="19"/>
      <c r="E31" s="19"/>
      <c r="F31" s="19"/>
      <c r="G31" s="19"/>
      <c r="H31" s="19"/>
      <c r="I31" s="28"/>
      <c r="J31" s="28"/>
      <c r="K31" s="28"/>
      <c r="L31" s="28"/>
      <c r="M31" s="119"/>
      <c r="N31" s="6">
        <f t="shared" si="11"/>
        <v>0</v>
      </c>
      <c r="O31" s="98">
        <v>0</v>
      </c>
      <c r="P31" s="6">
        <f t="shared" si="10"/>
        <v>0</v>
      </c>
      <c r="Q31" s="23"/>
      <c r="R31" s="23"/>
      <c r="S31" s="23"/>
      <c r="T31" s="23"/>
      <c r="U31" s="23"/>
      <c r="V31" s="23"/>
    </row>
    <row r="32" spans="1:24" x14ac:dyDescent="0.25">
      <c r="A32" s="15" t="s">
        <v>279</v>
      </c>
      <c r="B32" s="19"/>
      <c r="C32" s="19"/>
      <c r="D32" s="19"/>
      <c r="E32" s="19"/>
      <c r="F32" s="19"/>
      <c r="G32" s="19"/>
      <c r="H32" s="19"/>
      <c r="I32" s="28"/>
      <c r="J32" s="28"/>
      <c r="K32" s="28"/>
      <c r="L32" s="28"/>
      <c r="M32" s="28"/>
      <c r="N32" s="6">
        <f t="shared" si="11"/>
        <v>0</v>
      </c>
      <c r="O32" s="98">
        <v>0</v>
      </c>
      <c r="P32" s="6">
        <f t="shared" si="10"/>
        <v>0</v>
      </c>
    </row>
    <row r="33" spans="1:16" x14ac:dyDescent="0.25">
      <c r="A33" s="15" t="s">
        <v>200</v>
      </c>
      <c r="B33" s="19"/>
      <c r="C33" s="19"/>
      <c r="D33" s="19"/>
      <c r="E33" s="19"/>
      <c r="F33" s="19"/>
      <c r="G33" s="19"/>
      <c r="H33" s="19"/>
      <c r="I33" s="28"/>
      <c r="J33" s="28"/>
      <c r="K33" s="28"/>
      <c r="L33" s="28"/>
      <c r="M33" s="28"/>
      <c r="N33" s="6">
        <f t="shared" si="11"/>
        <v>0</v>
      </c>
      <c r="O33" s="98">
        <v>0</v>
      </c>
      <c r="P33" s="6">
        <f t="shared" si="10"/>
        <v>0</v>
      </c>
    </row>
    <row r="34" spans="1:16" x14ac:dyDescent="0.25">
      <c r="A34" s="117" t="s">
        <v>102</v>
      </c>
      <c r="B34" s="19"/>
      <c r="C34" s="19"/>
      <c r="D34" s="19"/>
      <c r="E34" s="19"/>
      <c r="F34" s="19"/>
      <c r="G34" s="19"/>
      <c r="H34" s="19"/>
      <c r="I34" s="28"/>
      <c r="J34" s="28"/>
      <c r="K34" s="28"/>
      <c r="L34" s="28"/>
      <c r="M34" s="28"/>
      <c r="N34" s="6">
        <f t="shared" si="11"/>
        <v>0</v>
      </c>
      <c r="O34" s="98">
        <v>0</v>
      </c>
      <c r="P34" s="6">
        <f t="shared" si="10"/>
        <v>0</v>
      </c>
    </row>
    <row r="35" spans="1:16" ht="15.75" thickBot="1" x14ac:dyDescent="0.3">
      <c r="A35" s="117"/>
      <c r="B35" s="113"/>
      <c r="C35" s="113"/>
      <c r="D35" s="113"/>
      <c r="E35" s="113"/>
      <c r="F35" s="113"/>
      <c r="G35" s="113"/>
      <c r="H35" s="113"/>
      <c r="I35" s="120"/>
      <c r="J35" s="120"/>
      <c r="K35" s="120"/>
      <c r="L35" s="120"/>
      <c r="M35" s="121"/>
      <c r="N35" s="6">
        <f t="shared" si="11"/>
        <v>0</v>
      </c>
      <c r="O35" s="98">
        <v>0</v>
      </c>
      <c r="P35" s="6">
        <f t="shared" si="10"/>
        <v>0</v>
      </c>
    </row>
    <row r="36" spans="1:16" s="1" customFormat="1" ht="15.75" thickBot="1" x14ac:dyDescent="0.3">
      <c r="A36" s="7" t="s">
        <v>1</v>
      </c>
      <c r="B36" s="11">
        <f t="shared" ref="B36:P36" si="13">SUM(B15:B35)</f>
        <v>0</v>
      </c>
      <c r="C36" s="11">
        <f t="shared" si="13"/>
        <v>0</v>
      </c>
      <c r="D36" s="11">
        <f t="shared" si="13"/>
        <v>0</v>
      </c>
      <c r="E36" s="11">
        <f t="shared" si="13"/>
        <v>0</v>
      </c>
      <c r="F36" s="11">
        <f t="shared" si="13"/>
        <v>0</v>
      </c>
      <c r="G36" s="11">
        <f t="shared" si="13"/>
        <v>0</v>
      </c>
      <c r="H36" s="11">
        <f t="shared" si="13"/>
        <v>0</v>
      </c>
      <c r="I36" s="11">
        <f t="shared" si="13"/>
        <v>0</v>
      </c>
      <c r="J36" s="11">
        <f t="shared" si="13"/>
        <v>0</v>
      </c>
      <c r="K36" s="11">
        <f t="shared" si="13"/>
        <v>0</v>
      </c>
      <c r="L36" s="11">
        <f t="shared" si="13"/>
        <v>0</v>
      </c>
      <c r="M36" s="12">
        <f t="shared" si="13"/>
        <v>0</v>
      </c>
      <c r="N36" s="13">
        <f t="shared" si="13"/>
        <v>0</v>
      </c>
      <c r="O36" s="13">
        <f t="shared" si="13"/>
        <v>0</v>
      </c>
      <c r="P36" s="13">
        <f t="shared" si="13"/>
        <v>0</v>
      </c>
    </row>
    <row r="37" spans="1:16" ht="15.75" thickBot="1" x14ac:dyDescent="0.3"/>
    <row r="38" spans="1:16" s="1" customFormat="1" ht="15.75" thickBot="1" x14ac:dyDescent="0.3">
      <c r="A38" s="24" t="s">
        <v>114</v>
      </c>
      <c r="B38" s="25">
        <f t="shared" ref="B38:P38" si="14">B10-B36</f>
        <v>0</v>
      </c>
      <c r="C38" s="25">
        <f t="shared" si="14"/>
        <v>0</v>
      </c>
      <c r="D38" s="25">
        <f t="shared" si="14"/>
        <v>0</v>
      </c>
      <c r="E38" s="25">
        <f t="shared" si="14"/>
        <v>0</v>
      </c>
      <c r="F38" s="25">
        <f t="shared" si="14"/>
        <v>0</v>
      </c>
      <c r="G38" s="25">
        <f t="shared" si="14"/>
        <v>0</v>
      </c>
      <c r="H38" s="25">
        <f t="shared" si="14"/>
        <v>0</v>
      </c>
      <c r="I38" s="25">
        <f t="shared" si="14"/>
        <v>0</v>
      </c>
      <c r="J38" s="25">
        <f t="shared" si="14"/>
        <v>0</v>
      </c>
      <c r="K38" s="25">
        <f t="shared" si="14"/>
        <v>0</v>
      </c>
      <c r="L38" s="25">
        <f t="shared" si="14"/>
        <v>0</v>
      </c>
      <c r="M38" s="26">
        <f t="shared" si="14"/>
        <v>0</v>
      </c>
      <c r="N38" s="27">
        <f t="shared" si="14"/>
        <v>0</v>
      </c>
      <c r="O38" s="27">
        <f t="shared" si="14"/>
        <v>0</v>
      </c>
      <c r="P38" s="27">
        <f t="shared" si="14"/>
        <v>0</v>
      </c>
    </row>
    <row r="40" spans="1:16" x14ac:dyDescent="0.25">
      <c r="N40" s="14"/>
      <c r="O40" s="14"/>
      <c r="P40" s="14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16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"/>
  <sheetViews>
    <sheetView showGridLines="0" rightToLeft="1" zoomScaleNormal="100" workbookViewId="0">
      <selection activeCell="A10" sqref="A10"/>
    </sheetView>
  </sheetViews>
  <sheetFormatPr defaultRowHeight="15" x14ac:dyDescent="0.25"/>
  <cols>
    <col min="1" max="1" width="35.625" customWidth="1"/>
    <col min="2" max="2" width="12.75" customWidth="1"/>
    <col min="3" max="13" width="10.875" bestFit="1" customWidth="1"/>
    <col min="14" max="16" width="12.375" style="1" bestFit="1" customWidth="1"/>
    <col min="19" max="19" width="9.375" bestFit="1" customWidth="1"/>
  </cols>
  <sheetData>
    <row r="1" spans="1:19" ht="21.75" customHeight="1" thickBot="1" x14ac:dyDescent="0.3">
      <c r="A1" s="10" t="s">
        <v>213</v>
      </c>
      <c r="R1" t="s">
        <v>234</v>
      </c>
      <c r="S1" t="s">
        <v>191</v>
      </c>
    </row>
    <row r="2" spans="1:19" x14ac:dyDescent="0.25">
      <c r="A2" s="4"/>
      <c r="B2" s="8" t="s">
        <v>63</v>
      </c>
      <c r="C2" s="8" t="s">
        <v>64</v>
      </c>
      <c r="D2" s="8" t="s">
        <v>65</v>
      </c>
      <c r="E2" s="8" t="s">
        <v>66</v>
      </c>
      <c r="F2" s="8" t="s">
        <v>67</v>
      </c>
      <c r="G2" s="8" t="s">
        <v>68</v>
      </c>
      <c r="H2" s="8" t="s">
        <v>69</v>
      </c>
      <c r="I2" s="8" t="s">
        <v>70</v>
      </c>
      <c r="J2" s="8" t="s">
        <v>71</v>
      </c>
      <c r="K2" s="8" t="s">
        <v>72</v>
      </c>
      <c r="L2" s="8" t="s">
        <v>73</v>
      </c>
      <c r="M2" s="9" t="s">
        <v>74</v>
      </c>
      <c r="N2" s="5" t="s">
        <v>233</v>
      </c>
      <c r="O2" s="5" t="s">
        <v>113</v>
      </c>
      <c r="P2" s="5" t="s">
        <v>215</v>
      </c>
    </row>
    <row r="3" spans="1:19" x14ac:dyDescent="0.25">
      <c r="A3" s="18" t="s">
        <v>181</v>
      </c>
      <c r="B3" s="19">
        <f t="shared" ref="B3:E3" si="0">ROUND(B14*1.05,-2)</f>
        <v>0</v>
      </c>
      <c r="C3" s="19">
        <f t="shared" si="0"/>
        <v>0</v>
      </c>
      <c r="D3" s="19">
        <f t="shared" si="0"/>
        <v>0</v>
      </c>
      <c r="E3" s="19">
        <f t="shared" si="0"/>
        <v>0</v>
      </c>
      <c r="F3" s="19">
        <f t="shared" ref="F3" si="1">ROUND(F14*1.05,-2)</f>
        <v>0</v>
      </c>
      <c r="G3" s="19">
        <f>ROUND(G14*1.05,-2)</f>
        <v>0</v>
      </c>
      <c r="H3" s="19">
        <f t="shared" ref="H3:M3" si="2">ROUND(H14*1.05,-2)</f>
        <v>0</v>
      </c>
      <c r="I3" s="19">
        <f t="shared" si="2"/>
        <v>0</v>
      </c>
      <c r="J3" s="19">
        <f t="shared" si="2"/>
        <v>0</v>
      </c>
      <c r="K3" s="19">
        <f t="shared" si="2"/>
        <v>0</v>
      </c>
      <c r="L3" s="19">
        <f t="shared" si="2"/>
        <v>0</v>
      </c>
      <c r="M3" s="19">
        <f t="shared" si="2"/>
        <v>0</v>
      </c>
      <c r="N3" s="6">
        <f>SUM(B3:M3)</f>
        <v>0</v>
      </c>
      <c r="O3" s="98">
        <v>1759733</v>
      </c>
      <c r="P3" s="6">
        <f>N3-O3</f>
        <v>-1759733</v>
      </c>
      <c r="R3" s="45" t="e">
        <f>N3/N14</f>
        <v>#DIV/0!</v>
      </c>
      <c r="S3" s="45">
        <f>O3/O14</f>
        <v>1.0510342611511647</v>
      </c>
    </row>
    <row r="4" spans="1:19" x14ac:dyDescent="0.25">
      <c r="A4" s="18" t="s">
        <v>183</v>
      </c>
      <c r="B4" s="19">
        <f t="shared" ref="B4:E4" si="3">ROUND(B15*1.05,-2)</f>
        <v>0</v>
      </c>
      <c r="C4" s="19">
        <f t="shared" si="3"/>
        <v>0</v>
      </c>
      <c r="D4" s="19">
        <f t="shared" si="3"/>
        <v>0</v>
      </c>
      <c r="E4" s="19">
        <f t="shared" si="3"/>
        <v>0</v>
      </c>
      <c r="F4" s="19">
        <f>ROUND(F15*1.05,-2)</f>
        <v>0</v>
      </c>
      <c r="G4" s="19">
        <f t="shared" ref="G4:M4" si="4">ROUND(G15*1.05,-2)</f>
        <v>0</v>
      </c>
      <c r="H4" s="19">
        <f t="shared" si="4"/>
        <v>0</v>
      </c>
      <c r="I4" s="19">
        <f t="shared" si="4"/>
        <v>0</v>
      </c>
      <c r="J4" s="19">
        <f t="shared" si="4"/>
        <v>0</v>
      </c>
      <c r="K4" s="19">
        <f t="shared" si="4"/>
        <v>0</v>
      </c>
      <c r="L4" s="19">
        <f t="shared" si="4"/>
        <v>0</v>
      </c>
      <c r="M4" s="19">
        <f t="shared" si="4"/>
        <v>0</v>
      </c>
      <c r="N4" s="6">
        <f>SUM(B4:M4)</f>
        <v>0</v>
      </c>
      <c r="O4" s="98">
        <v>12380</v>
      </c>
      <c r="P4" s="6">
        <f t="shared" ref="P4:P8" si="5">N4-O4</f>
        <v>-12380</v>
      </c>
      <c r="R4" s="45" t="e">
        <f t="shared" ref="R4:R7" si="6">N4/N15</f>
        <v>#DIV/0!</v>
      </c>
      <c r="S4" s="45">
        <f>O4/O15</f>
        <v>1.0323549032688459</v>
      </c>
    </row>
    <row r="5" spans="1:19" x14ac:dyDescent="0.25">
      <c r="A5" s="18" t="s">
        <v>185</v>
      </c>
      <c r="B5" s="19">
        <v>0</v>
      </c>
      <c r="C5" s="19">
        <v>0</v>
      </c>
      <c r="D5" s="19">
        <v>0</v>
      </c>
      <c r="E5" s="19">
        <v>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99">
        <v>0</v>
      </c>
      <c r="N5" s="6">
        <f t="shared" ref="N5:N8" si="7">SUM(B5:M5)</f>
        <v>0</v>
      </c>
      <c r="O5" s="98">
        <v>45168</v>
      </c>
      <c r="P5" s="6">
        <f t="shared" si="5"/>
        <v>-45168</v>
      </c>
      <c r="R5" s="45" t="e">
        <f t="shared" si="6"/>
        <v>#DIV/0!</v>
      </c>
      <c r="S5" s="45">
        <f>O5/O16</f>
        <v>14.66969795388113</v>
      </c>
    </row>
    <row r="6" spans="1:19" x14ac:dyDescent="0.25">
      <c r="A6" s="18" t="s">
        <v>187</v>
      </c>
      <c r="B6" s="19">
        <v>0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99">
        <v>0</v>
      </c>
      <c r="N6" s="6">
        <f t="shared" si="7"/>
        <v>0</v>
      </c>
      <c r="O6" s="98">
        <v>0</v>
      </c>
      <c r="P6" s="6">
        <f t="shared" si="5"/>
        <v>0</v>
      </c>
      <c r="R6" s="45" t="e">
        <f t="shared" si="6"/>
        <v>#DIV/0!</v>
      </c>
      <c r="S6" s="45" t="e">
        <f>O6/O17</f>
        <v>#DIV/0!</v>
      </c>
    </row>
    <row r="7" spans="1:19" x14ac:dyDescent="0.25">
      <c r="A7" s="18" t="s">
        <v>281</v>
      </c>
      <c r="B7" s="19">
        <f t="shared" ref="B7:E7" si="8">ROUND(B18*1.05,-2)</f>
        <v>0</v>
      </c>
      <c r="C7" s="19">
        <f t="shared" si="8"/>
        <v>0</v>
      </c>
      <c r="D7" s="19">
        <f t="shared" si="8"/>
        <v>0</v>
      </c>
      <c r="E7" s="19">
        <f t="shared" si="8"/>
        <v>0</v>
      </c>
      <c r="F7" s="19">
        <f>ROUND(F18*1.05,-2)</f>
        <v>0</v>
      </c>
      <c r="G7" s="19">
        <f t="shared" ref="G7:M7" si="9">ROUND(G18*1.05,-2)</f>
        <v>0</v>
      </c>
      <c r="H7" s="19">
        <f t="shared" si="9"/>
        <v>0</v>
      </c>
      <c r="I7" s="19">
        <f t="shared" si="9"/>
        <v>0</v>
      </c>
      <c r="J7" s="19">
        <f t="shared" si="9"/>
        <v>0</v>
      </c>
      <c r="K7" s="19">
        <f t="shared" si="9"/>
        <v>0</v>
      </c>
      <c r="L7" s="19">
        <f t="shared" si="9"/>
        <v>0</v>
      </c>
      <c r="M7" s="19">
        <f t="shared" si="9"/>
        <v>0</v>
      </c>
      <c r="N7" s="6">
        <f t="shared" si="7"/>
        <v>0</v>
      </c>
      <c r="O7" s="98">
        <f>11127+4635</f>
        <v>15762</v>
      </c>
      <c r="P7" s="6">
        <f t="shared" si="5"/>
        <v>-15762</v>
      </c>
      <c r="R7" s="45" t="e">
        <f t="shared" si="6"/>
        <v>#DIV/0!</v>
      </c>
      <c r="S7" s="45">
        <f>O7/O18</f>
        <v>0.87615341856586992</v>
      </c>
    </row>
    <row r="8" spans="1:19" ht="15.75" thickBot="1" x14ac:dyDescent="0.3">
      <c r="A8" s="43" t="s">
        <v>189</v>
      </c>
      <c r="B8" s="109">
        <f>ROUND(B19*1.05,-2)</f>
        <v>0</v>
      </c>
      <c r="C8" s="109">
        <f>ROUND(C19*1.05,-2)</f>
        <v>0</v>
      </c>
      <c r="D8" s="109">
        <f>ROUND(D19*1.05,-2)</f>
        <v>0</v>
      </c>
      <c r="E8" s="109">
        <f>ROUND(E19*1.05,-2)</f>
        <v>0</v>
      </c>
      <c r="F8" s="109">
        <f>ROUND(F19*1.05,-2)</f>
        <v>0</v>
      </c>
      <c r="G8" s="109">
        <f t="shared" ref="G8:M8" si="10">ROUND(G19*1.05,-2)</f>
        <v>0</v>
      </c>
      <c r="H8" s="109">
        <f t="shared" si="10"/>
        <v>0</v>
      </c>
      <c r="I8" s="109">
        <f t="shared" si="10"/>
        <v>0</v>
      </c>
      <c r="J8" s="109">
        <f t="shared" si="10"/>
        <v>0</v>
      </c>
      <c r="K8" s="109">
        <f t="shared" si="10"/>
        <v>0</v>
      </c>
      <c r="L8" s="109">
        <f t="shared" si="10"/>
        <v>0</v>
      </c>
      <c r="M8" s="109">
        <f t="shared" si="10"/>
        <v>0</v>
      </c>
      <c r="N8" s="6">
        <f t="shared" si="7"/>
        <v>0</v>
      </c>
      <c r="O8" s="98">
        <v>51881</v>
      </c>
      <c r="P8" s="6">
        <f t="shared" si="5"/>
        <v>-51881</v>
      </c>
      <c r="R8" s="45" t="e">
        <f t="shared" ref="R8" si="11">N8/N19</f>
        <v>#DIV/0!</v>
      </c>
      <c r="S8" s="45">
        <f>O8/O19</f>
        <v>1.0500101194090266</v>
      </c>
    </row>
    <row r="9" spans="1:19" s="1" customFormat="1" ht="15.75" thickBot="1" x14ac:dyDescent="0.3">
      <c r="A9" s="7" t="s">
        <v>0</v>
      </c>
      <c r="B9" s="11">
        <f>SUM(B3:B8)</f>
        <v>0</v>
      </c>
      <c r="C9" s="11">
        <f>SUM(C3:C8)</f>
        <v>0</v>
      </c>
      <c r="D9" s="11">
        <f t="shared" ref="D9:M9" si="12">SUM(D3:D8)</f>
        <v>0</v>
      </c>
      <c r="E9" s="11">
        <f t="shared" si="12"/>
        <v>0</v>
      </c>
      <c r="F9" s="11">
        <f t="shared" si="12"/>
        <v>0</v>
      </c>
      <c r="G9" s="11">
        <f t="shared" si="12"/>
        <v>0</v>
      </c>
      <c r="H9" s="11">
        <f t="shared" si="12"/>
        <v>0</v>
      </c>
      <c r="I9" s="11">
        <f t="shared" si="12"/>
        <v>0</v>
      </c>
      <c r="J9" s="11">
        <f t="shared" si="12"/>
        <v>0</v>
      </c>
      <c r="K9" s="11">
        <f t="shared" si="12"/>
        <v>0</v>
      </c>
      <c r="L9" s="11">
        <f t="shared" si="12"/>
        <v>0</v>
      </c>
      <c r="M9" s="11">
        <f t="shared" si="12"/>
        <v>0</v>
      </c>
      <c r="N9" s="13">
        <f>SUM(N3:N8)</f>
        <v>0</v>
      </c>
      <c r="O9" s="13">
        <f>SUM(O3:O8)</f>
        <v>1884924</v>
      </c>
      <c r="P9" s="13">
        <f>SUM(P3:P8)</f>
        <v>-1884924</v>
      </c>
    </row>
    <row r="12" spans="1:19" ht="21.75" customHeight="1" thickBot="1" x14ac:dyDescent="0.3">
      <c r="A12" s="10" t="s">
        <v>214</v>
      </c>
    </row>
    <row r="13" spans="1:19" x14ac:dyDescent="0.25">
      <c r="B13" s="8" t="s">
        <v>63</v>
      </c>
      <c r="C13" s="8" t="s">
        <v>64</v>
      </c>
      <c r="D13" s="8" t="s">
        <v>65</v>
      </c>
      <c r="E13" s="8" t="s">
        <v>66</v>
      </c>
      <c r="F13" s="8" t="s">
        <v>67</v>
      </c>
      <c r="G13" s="8" t="s">
        <v>68</v>
      </c>
      <c r="H13" s="8" t="s">
        <v>69</v>
      </c>
      <c r="I13" s="8" t="s">
        <v>70</v>
      </c>
      <c r="J13" s="8" t="s">
        <v>71</v>
      </c>
      <c r="K13" s="8" t="s">
        <v>72</v>
      </c>
      <c r="L13" s="8" t="s">
        <v>73</v>
      </c>
      <c r="M13" s="9" t="s">
        <v>74</v>
      </c>
      <c r="N13" s="5" t="str">
        <f>N2</f>
        <v>סה"כ 2018</v>
      </c>
      <c r="O13" s="5" t="str">
        <f>O2</f>
        <v>סה"כ 2017</v>
      </c>
      <c r="P13" s="5" t="s">
        <v>215</v>
      </c>
    </row>
    <row r="14" spans="1:19" x14ac:dyDescent="0.25">
      <c r="A14" s="4" t="s">
        <v>182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6">
        <f>SUM(B14:M14)</f>
        <v>0</v>
      </c>
      <c r="O14" s="98">
        <f>1654128+4057+1200+14902</f>
        <v>1674287</v>
      </c>
      <c r="P14" s="6">
        <f>N14-O14</f>
        <v>-1674287</v>
      </c>
    </row>
    <row r="15" spans="1:19" x14ac:dyDescent="0.25">
      <c r="A15" s="18" t="s">
        <v>184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6">
        <f t="shared" ref="N15:N22" si="13">SUM(B15:M15)</f>
        <v>0</v>
      </c>
      <c r="O15" s="98">
        <v>11992</v>
      </c>
      <c r="P15" s="6">
        <f t="shared" ref="P15:P22" si="14">N15-O15</f>
        <v>-11992</v>
      </c>
    </row>
    <row r="16" spans="1:19" x14ac:dyDescent="0.25">
      <c r="A16" s="18" t="s">
        <v>186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6">
        <f t="shared" ref="N16" si="15">SUM(B16:M16)</f>
        <v>0</v>
      </c>
      <c r="O16" s="98">
        <v>3079</v>
      </c>
      <c r="P16" s="6">
        <f t="shared" si="14"/>
        <v>-3079</v>
      </c>
    </row>
    <row r="17" spans="1:20" x14ac:dyDescent="0.25">
      <c r="A17" s="18" t="s">
        <v>188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6">
        <f t="shared" si="13"/>
        <v>0</v>
      </c>
      <c r="O17" s="98">
        <v>0</v>
      </c>
      <c r="P17" s="6">
        <f t="shared" si="14"/>
        <v>0</v>
      </c>
    </row>
    <row r="18" spans="1:20" x14ac:dyDescent="0.25">
      <c r="A18" s="18" t="s">
        <v>280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6">
        <f>SUM(B18:M18)</f>
        <v>0</v>
      </c>
      <c r="O18" s="98">
        <f>10597+2979+4414</f>
        <v>17990</v>
      </c>
      <c r="P18" s="6">
        <f t="shared" si="14"/>
        <v>-17990</v>
      </c>
    </row>
    <row r="19" spans="1:20" x14ac:dyDescent="0.25">
      <c r="A19" s="18" t="s">
        <v>190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6">
        <f t="shared" si="13"/>
        <v>0</v>
      </c>
      <c r="O19" s="98">
        <v>49410</v>
      </c>
      <c r="P19" s="6">
        <f t="shared" si="14"/>
        <v>-49410</v>
      </c>
    </row>
    <row r="20" spans="1:20" x14ac:dyDescent="0.25">
      <c r="A20" s="18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50"/>
      <c r="N20" s="6">
        <f>SUM(B20:M20)</f>
        <v>0</v>
      </c>
      <c r="O20" s="102"/>
      <c r="P20" s="6">
        <f t="shared" si="14"/>
        <v>0</v>
      </c>
      <c r="Q20" s="23"/>
      <c r="R20" s="23"/>
      <c r="S20" s="23"/>
      <c r="T20" s="23"/>
    </row>
    <row r="21" spans="1:20" x14ac:dyDescent="0.25">
      <c r="A21" s="1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50"/>
      <c r="N21" s="6">
        <f t="shared" si="13"/>
        <v>0</v>
      </c>
      <c r="O21" s="102"/>
      <c r="P21" s="6">
        <f t="shared" si="14"/>
        <v>0</v>
      </c>
    </row>
    <row r="22" spans="1:20" ht="15.75" thickBot="1" x14ac:dyDescent="0.3">
      <c r="A22" s="20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2"/>
      <c r="N22" s="6">
        <f t="shared" si="13"/>
        <v>0</v>
      </c>
      <c r="O22" s="102"/>
      <c r="P22" s="6">
        <f t="shared" si="14"/>
        <v>0</v>
      </c>
    </row>
    <row r="23" spans="1:20" s="1" customFormat="1" ht="15.75" thickBot="1" x14ac:dyDescent="0.3">
      <c r="A23" s="7" t="s">
        <v>1</v>
      </c>
      <c r="B23" s="11">
        <f t="shared" ref="B23:P23" si="16">SUM(B14:B22)</f>
        <v>0</v>
      </c>
      <c r="C23" s="11">
        <f t="shared" si="16"/>
        <v>0</v>
      </c>
      <c r="D23" s="11">
        <f t="shared" si="16"/>
        <v>0</v>
      </c>
      <c r="E23" s="11">
        <f t="shared" si="16"/>
        <v>0</v>
      </c>
      <c r="F23" s="11">
        <f t="shared" si="16"/>
        <v>0</v>
      </c>
      <c r="G23" s="11">
        <f t="shared" si="16"/>
        <v>0</v>
      </c>
      <c r="H23" s="11">
        <f t="shared" si="16"/>
        <v>0</v>
      </c>
      <c r="I23" s="11">
        <f t="shared" si="16"/>
        <v>0</v>
      </c>
      <c r="J23" s="11">
        <f t="shared" si="16"/>
        <v>0</v>
      </c>
      <c r="K23" s="11">
        <f t="shared" si="16"/>
        <v>0</v>
      </c>
      <c r="L23" s="11">
        <f t="shared" si="16"/>
        <v>0</v>
      </c>
      <c r="M23" s="12">
        <f t="shared" si="16"/>
        <v>0</v>
      </c>
      <c r="N23" s="13">
        <f t="shared" si="16"/>
        <v>0</v>
      </c>
      <c r="O23" s="13">
        <f t="shared" si="16"/>
        <v>1756758</v>
      </c>
      <c r="P23" s="13">
        <f t="shared" si="16"/>
        <v>-1756758</v>
      </c>
    </row>
    <row r="24" spans="1:20" ht="15.75" thickBot="1" x14ac:dyDescent="0.3"/>
    <row r="25" spans="1:20" s="1" customFormat="1" ht="15.75" thickBot="1" x14ac:dyDescent="0.3">
      <c r="A25" s="24" t="s">
        <v>114</v>
      </c>
      <c r="B25" s="25">
        <f t="shared" ref="B25:P25" si="17">B9-B23</f>
        <v>0</v>
      </c>
      <c r="C25" s="25">
        <f t="shared" si="17"/>
        <v>0</v>
      </c>
      <c r="D25" s="25">
        <f t="shared" si="17"/>
        <v>0</v>
      </c>
      <c r="E25" s="25">
        <f t="shared" si="17"/>
        <v>0</v>
      </c>
      <c r="F25" s="25">
        <f t="shared" si="17"/>
        <v>0</v>
      </c>
      <c r="G25" s="25">
        <f t="shared" si="17"/>
        <v>0</v>
      </c>
      <c r="H25" s="25">
        <f t="shared" si="17"/>
        <v>0</v>
      </c>
      <c r="I25" s="25">
        <f t="shared" si="17"/>
        <v>0</v>
      </c>
      <c r="J25" s="25">
        <f t="shared" si="17"/>
        <v>0</v>
      </c>
      <c r="K25" s="25">
        <f t="shared" si="17"/>
        <v>0</v>
      </c>
      <c r="L25" s="25">
        <f t="shared" si="17"/>
        <v>0</v>
      </c>
      <c r="M25" s="26">
        <f t="shared" si="17"/>
        <v>0</v>
      </c>
      <c r="N25" s="27">
        <f t="shared" si="17"/>
        <v>0</v>
      </c>
      <c r="O25" s="27">
        <f t="shared" si="17"/>
        <v>128166</v>
      </c>
      <c r="P25" s="27">
        <f t="shared" si="17"/>
        <v>-128166</v>
      </c>
    </row>
    <row r="27" spans="1:20" x14ac:dyDescent="0.25">
      <c r="N27" s="14"/>
      <c r="O27" s="14"/>
      <c r="P27" s="14"/>
    </row>
  </sheetData>
  <pageMargins left="0.70866141732283472" right="0.70866141732283472" top="0.74803149606299213" bottom="0.74803149606299213" header="0.31496062992125984" footer="0.31496062992125984"/>
  <pageSetup paperSize="9" scale="58" orientation="landscape" r:id="rId1"/>
  <colBreaks count="1" manualBreakCount="1">
    <brk id="1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"/>
  <sheetViews>
    <sheetView rightToLeft="1" zoomScaleNormal="100" workbookViewId="0">
      <selection activeCell="D11" sqref="D11"/>
    </sheetView>
  </sheetViews>
  <sheetFormatPr defaultRowHeight="14.25" x14ac:dyDescent="0.2"/>
  <cols>
    <col min="1" max="1" width="32.75" customWidth="1"/>
    <col min="2" max="2" width="13" bestFit="1" customWidth="1"/>
    <col min="3" max="3" width="19.5" bestFit="1" customWidth="1"/>
    <col min="4" max="4" width="16.25" bestFit="1" customWidth="1"/>
  </cols>
  <sheetData>
    <row r="2" spans="1:4" ht="15" x14ac:dyDescent="0.25">
      <c r="A2" s="131" t="s">
        <v>292</v>
      </c>
      <c r="B2" s="131" t="s">
        <v>293</v>
      </c>
      <c r="C2" s="131" t="s">
        <v>294</v>
      </c>
      <c r="D2" s="131" t="s">
        <v>295</v>
      </c>
    </row>
    <row r="3" spans="1:4" x14ac:dyDescent="0.2">
      <c r="A3" s="4"/>
      <c r="B3" s="4"/>
      <c r="C3" s="4"/>
      <c r="D3" s="4"/>
    </row>
    <row r="4" spans="1:4" x14ac:dyDescent="0.2">
      <c r="A4" s="4" t="s">
        <v>291</v>
      </c>
      <c r="B4" s="128">
        <v>4120000</v>
      </c>
      <c r="C4" s="128">
        <f>IF(B4*0.05&lt;50000,50000,IF(B4&lt;2000000,B4*0.05,(2000000*0.05+(B4-2000000)*0.035)))</f>
        <v>174200</v>
      </c>
      <c r="D4" s="129">
        <f>C4/B4</f>
        <v>4.2281553398058253E-2</v>
      </c>
    </row>
    <row r="5" spans="1:4" x14ac:dyDescent="0.2">
      <c r="A5" s="4" t="s">
        <v>296</v>
      </c>
      <c r="B5" s="128">
        <v>3000000</v>
      </c>
      <c r="C5" s="128">
        <f t="shared" ref="C5:C9" si="0">IF(B5*0.05&lt;50000,50000,IF(B5&lt;2000000,B5*0.05,(2000000*0.05+(B5-2000000)*0.035)))</f>
        <v>135000</v>
      </c>
      <c r="D5" s="129">
        <f t="shared" ref="D5:D11" si="1">C5/B5</f>
        <v>4.4999999999999998E-2</v>
      </c>
    </row>
    <row r="6" spans="1:4" x14ac:dyDescent="0.2">
      <c r="A6" s="4" t="s">
        <v>297</v>
      </c>
      <c r="B6" s="128">
        <v>2500000</v>
      </c>
      <c r="C6" s="128">
        <f t="shared" si="0"/>
        <v>117500</v>
      </c>
      <c r="D6" s="129">
        <f t="shared" si="1"/>
        <v>4.7E-2</v>
      </c>
    </row>
    <row r="7" spans="1:4" x14ac:dyDescent="0.2">
      <c r="A7" s="4" t="s">
        <v>298</v>
      </c>
      <c r="B7" s="128">
        <v>1500000</v>
      </c>
      <c r="C7" s="128">
        <f t="shared" si="0"/>
        <v>75000</v>
      </c>
      <c r="D7" s="129">
        <f t="shared" si="1"/>
        <v>0.05</v>
      </c>
    </row>
    <row r="8" spans="1:4" x14ac:dyDescent="0.2">
      <c r="A8" s="4" t="s">
        <v>299</v>
      </c>
      <c r="B8" s="128">
        <v>1778040</v>
      </c>
      <c r="C8" s="128">
        <f t="shared" si="0"/>
        <v>88902</v>
      </c>
      <c r="D8" s="129">
        <f t="shared" si="1"/>
        <v>0.05</v>
      </c>
    </row>
    <row r="9" spans="1:4" x14ac:dyDescent="0.2">
      <c r="A9" s="4" t="s">
        <v>300</v>
      </c>
      <c r="B9" s="128">
        <v>1557132</v>
      </c>
      <c r="C9" s="128">
        <f t="shared" si="0"/>
        <v>77856.600000000006</v>
      </c>
      <c r="D9" s="129">
        <f t="shared" si="1"/>
        <v>0.05</v>
      </c>
    </row>
    <row r="10" spans="1:4" x14ac:dyDescent="0.2">
      <c r="A10" s="4"/>
      <c r="B10" s="4"/>
      <c r="C10" s="4"/>
      <c r="D10" s="4"/>
    </row>
    <row r="11" spans="1:4" ht="15" x14ac:dyDescent="0.25">
      <c r="A11" s="127" t="s">
        <v>192</v>
      </c>
      <c r="B11" s="130">
        <f>SUM(B4:B10)</f>
        <v>14455172</v>
      </c>
      <c r="C11" s="130">
        <f>SUM(C4:C10)</f>
        <v>668458.6</v>
      </c>
      <c r="D11" s="129">
        <f t="shared" si="1"/>
        <v>4.6243559052773636E-2</v>
      </c>
    </row>
  </sheetData>
  <pageMargins left="0.7" right="0.7" top="0.75" bottom="0.75" header="0.3" footer="0.3"/>
  <pageSetup paperSize="9" scale="9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rightToLeft="1" workbookViewId="0">
      <selection activeCell="C3" sqref="C3"/>
    </sheetView>
  </sheetViews>
  <sheetFormatPr defaultRowHeight="14.25" x14ac:dyDescent="0.2"/>
  <cols>
    <col min="1" max="1" width="13.125" style="3" customWidth="1"/>
    <col min="2" max="2" width="16.625" style="3" customWidth="1"/>
    <col min="3" max="4" width="12.125" style="3" customWidth="1"/>
    <col min="5" max="5" width="14.375" style="3" bestFit="1" customWidth="1"/>
    <col min="6" max="6" width="13.25" style="3" bestFit="1" customWidth="1"/>
    <col min="7" max="16384" width="9" style="3"/>
  </cols>
  <sheetData>
    <row r="1" spans="1:2" x14ac:dyDescent="0.2">
      <c r="A1" s="94" t="s">
        <v>2</v>
      </c>
      <c r="B1" s="94"/>
    </row>
    <row r="2" spans="1:2" ht="15" x14ac:dyDescent="0.2">
      <c r="A2" s="95" t="s">
        <v>55</v>
      </c>
      <c r="B2" s="95" t="s">
        <v>56</v>
      </c>
    </row>
    <row r="3" spans="1:2" x14ac:dyDescent="0.2">
      <c r="A3" s="143" t="s">
        <v>42</v>
      </c>
      <c r="B3" s="94" t="s">
        <v>43</v>
      </c>
    </row>
    <row r="4" spans="1:2" x14ac:dyDescent="0.2">
      <c r="A4" s="143"/>
      <c r="B4" s="94" t="s">
        <v>44</v>
      </c>
    </row>
    <row r="5" spans="1:2" x14ac:dyDescent="0.2">
      <c r="A5" s="143" t="s">
        <v>23</v>
      </c>
      <c r="B5" s="94" t="s">
        <v>24</v>
      </c>
    </row>
    <row r="6" spans="1:2" x14ac:dyDescent="0.2">
      <c r="A6" s="143"/>
      <c r="B6" s="94" t="s">
        <v>50</v>
      </c>
    </row>
    <row r="7" spans="1:2" x14ac:dyDescent="0.2">
      <c r="A7" s="143"/>
      <c r="B7" s="94" t="s">
        <v>53</v>
      </c>
    </row>
    <row r="8" spans="1:2" x14ac:dyDescent="0.2">
      <c r="A8" s="94" t="s">
        <v>18</v>
      </c>
      <c r="B8" s="94" t="s">
        <v>25</v>
      </c>
    </row>
    <row r="9" spans="1:2" x14ac:dyDescent="0.2">
      <c r="A9" s="143" t="s">
        <v>26</v>
      </c>
      <c r="B9" s="94" t="s">
        <v>41</v>
      </c>
    </row>
    <row r="10" spans="1:2" x14ac:dyDescent="0.2">
      <c r="A10" s="143"/>
      <c r="B10" s="94" t="s">
        <v>47</v>
      </c>
    </row>
    <row r="11" spans="1:2" x14ac:dyDescent="0.2">
      <c r="A11" s="143"/>
      <c r="B11" s="94" t="s">
        <v>45</v>
      </c>
    </row>
    <row r="12" spans="1:2" x14ac:dyDescent="0.2">
      <c r="A12" s="143" t="s">
        <v>11</v>
      </c>
      <c r="B12" s="94" t="s">
        <v>27</v>
      </c>
    </row>
    <row r="13" spans="1:2" x14ac:dyDescent="0.2">
      <c r="A13" s="143"/>
      <c r="B13" s="94" t="s">
        <v>28</v>
      </c>
    </row>
    <row r="14" spans="1:2" x14ac:dyDescent="0.2">
      <c r="A14" s="143"/>
      <c r="B14" s="94" t="s">
        <v>36</v>
      </c>
    </row>
    <row r="15" spans="1:2" x14ac:dyDescent="0.2">
      <c r="A15" s="143"/>
      <c r="B15" s="94" t="s">
        <v>54</v>
      </c>
    </row>
    <row r="16" spans="1:2" x14ac:dyDescent="0.2">
      <c r="A16" s="143" t="s">
        <v>29</v>
      </c>
      <c r="B16" s="94" t="s">
        <v>30</v>
      </c>
    </row>
    <row r="17" spans="1:6" x14ac:dyDescent="0.2">
      <c r="A17" s="143"/>
      <c r="B17" s="94" t="s">
        <v>40</v>
      </c>
    </row>
    <row r="18" spans="1:6" x14ac:dyDescent="0.2">
      <c r="A18" s="143"/>
      <c r="B18" s="94" t="s">
        <v>46</v>
      </c>
    </row>
    <row r="19" spans="1:6" x14ac:dyDescent="0.2">
      <c r="A19" s="143" t="s">
        <v>31</v>
      </c>
      <c r="B19" s="94" t="s">
        <v>32</v>
      </c>
    </row>
    <row r="20" spans="1:6" x14ac:dyDescent="0.2">
      <c r="A20" s="143"/>
      <c r="B20" s="94" t="s">
        <v>33</v>
      </c>
    </row>
    <row r="21" spans="1:6" x14ac:dyDescent="0.2">
      <c r="A21" s="143"/>
      <c r="B21" s="94" t="s">
        <v>39</v>
      </c>
    </row>
    <row r="22" spans="1:6" x14ac:dyDescent="0.2">
      <c r="A22" s="143" t="s">
        <v>34</v>
      </c>
      <c r="B22" s="94" t="s">
        <v>35</v>
      </c>
    </row>
    <row r="23" spans="1:6" x14ac:dyDescent="0.2">
      <c r="A23" s="143"/>
      <c r="B23" s="94" t="s">
        <v>37</v>
      </c>
    </row>
    <row r="24" spans="1:6" x14ac:dyDescent="0.2">
      <c r="A24" s="143"/>
      <c r="B24" s="94" t="s">
        <v>38</v>
      </c>
    </row>
    <row r="25" spans="1:6" x14ac:dyDescent="0.2">
      <c r="A25" s="143"/>
      <c r="B25" s="94" t="s">
        <v>51</v>
      </c>
    </row>
    <row r="26" spans="1:6" x14ac:dyDescent="0.2">
      <c r="A26" s="143"/>
      <c r="B26" s="94" t="s">
        <v>52</v>
      </c>
    </row>
    <row r="29" spans="1:6" x14ac:dyDescent="0.2">
      <c r="A29" s="94" t="s">
        <v>57</v>
      </c>
      <c r="B29" s="94"/>
      <c r="C29" s="94"/>
      <c r="D29" s="94"/>
      <c r="E29" s="94"/>
      <c r="F29" s="94"/>
    </row>
    <row r="30" spans="1:6" x14ac:dyDescent="0.2">
      <c r="A30" s="94"/>
      <c r="B30" s="94" t="s">
        <v>58</v>
      </c>
      <c r="C30" s="94" t="s">
        <v>59</v>
      </c>
      <c r="D30" s="94" t="s">
        <v>60</v>
      </c>
      <c r="E30" s="94" t="s">
        <v>62</v>
      </c>
      <c r="F30" s="94" t="s">
        <v>61</v>
      </c>
    </row>
    <row r="31" spans="1:6" x14ac:dyDescent="0.2">
      <c r="A31" s="94" t="s">
        <v>23</v>
      </c>
      <c r="B31" s="94">
        <v>100</v>
      </c>
      <c r="C31" s="94">
        <f>B31*4</f>
        <v>400</v>
      </c>
      <c r="D31" s="94">
        <f>C31*12</f>
        <v>4800</v>
      </c>
      <c r="E31" s="94">
        <v>35</v>
      </c>
      <c r="F31" s="96">
        <f>(E31*C31)*1.2</f>
        <v>16800</v>
      </c>
    </row>
    <row r="32" spans="1:6" x14ac:dyDescent="0.2">
      <c r="A32" s="94" t="s">
        <v>26</v>
      </c>
      <c r="B32" s="94">
        <v>95</v>
      </c>
      <c r="C32" s="94">
        <v>404</v>
      </c>
      <c r="D32" s="94">
        <v>4848</v>
      </c>
      <c r="E32" s="94">
        <v>35</v>
      </c>
      <c r="F32" s="96">
        <f>(E32*C32)*1.2</f>
        <v>16968</v>
      </c>
    </row>
    <row r="33" spans="1:16" x14ac:dyDescent="0.2">
      <c r="A33" s="94" t="s">
        <v>31</v>
      </c>
      <c r="B33" s="94">
        <v>74</v>
      </c>
      <c r="C33" s="94">
        <f>B33*4</f>
        <v>296</v>
      </c>
      <c r="D33" s="94">
        <f>C33*12</f>
        <v>3552</v>
      </c>
      <c r="E33" s="94">
        <v>34</v>
      </c>
      <c r="F33" s="96">
        <f>(E33*C33)*1.2</f>
        <v>12076.8</v>
      </c>
    </row>
    <row r="34" spans="1:16" x14ac:dyDescent="0.2">
      <c r="A34" s="94" t="s">
        <v>11</v>
      </c>
      <c r="B34" s="94">
        <f>91*2.5</f>
        <v>227.5</v>
      </c>
      <c r="C34" s="94">
        <f>B34*4</f>
        <v>910</v>
      </c>
      <c r="D34" s="94">
        <f>C34*12</f>
        <v>10920</v>
      </c>
      <c r="E34" s="94">
        <v>27</v>
      </c>
      <c r="F34" s="96">
        <f t="shared" ref="F34:F37" si="0">(E34*C34)*1.2</f>
        <v>29484</v>
      </c>
    </row>
    <row r="35" spans="1:16" x14ac:dyDescent="0.2">
      <c r="A35" s="94" t="s">
        <v>18</v>
      </c>
      <c r="B35" s="94">
        <f>10*5</f>
        <v>50</v>
      </c>
      <c r="C35" s="94">
        <f>B35*4</f>
        <v>200</v>
      </c>
      <c r="D35" s="94">
        <f>C35*12</f>
        <v>2400</v>
      </c>
      <c r="E35" s="94">
        <v>30</v>
      </c>
      <c r="F35" s="96">
        <f t="shared" si="0"/>
        <v>7200</v>
      </c>
    </row>
    <row r="36" spans="1:16" x14ac:dyDescent="0.2">
      <c r="A36" s="94" t="s">
        <v>29</v>
      </c>
      <c r="B36" s="94">
        <f>95*1.2</f>
        <v>114</v>
      </c>
      <c r="C36" s="94">
        <f>B36*4</f>
        <v>456</v>
      </c>
      <c r="D36" s="94">
        <f>C36*12</f>
        <v>5472</v>
      </c>
      <c r="E36" s="94">
        <v>33</v>
      </c>
      <c r="F36" s="96">
        <f t="shared" si="0"/>
        <v>18057.599999999999</v>
      </c>
    </row>
    <row r="37" spans="1:16" x14ac:dyDescent="0.2">
      <c r="A37" s="94" t="s">
        <v>42</v>
      </c>
      <c r="B37" s="94">
        <v>100</v>
      </c>
      <c r="C37" s="94">
        <f>B37*4</f>
        <v>400</v>
      </c>
      <c r="D37" s="94">
        <f>C37*12</f>
        <v>4800</v>
      </c>
      <c r="E37" s="94">
        <v>37.5</v>
      </c>
      <c r="F37" s="96">
        <f t="shared" si="0"/>
        <v>18000</v>
      </c>
    </row>
    <row r="38" spans="1:16" x14ac:dyDescent="0.2">
      <c r="A38" s="94"/>
      <c r="B38" s="94"/>
      <c r="C38" s="94"/>
      <c r="D38" s="94"/>
      <c r="E38" s="94"/>
      <c r="F38" s="97">
        <f>SUM(F31:F37)</f>
        <v>118586.4</v>
      </c>
    </row>
    <row r="40" spans="1:16" ht="15" x14ac:dyDescent="0.2">
      <c r="A40" s="95" t="s">
        <v>76</v>
      </c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</row>
    <row r="41" spans="1:16" x14ac:dyDescent="0.2">
      <c r="A41" s="141" t="s">
        <v>77</v>
      </c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</row>
    <row r="42" spans="1:16" x14ac:dyDescent="0.2">
      <c r="A42" s="141" t="s">
        <v>78</v>
      </c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</row>
    <row r="43" spans="1:16" x14ac:dyDescent="0.2">
      <c r="A43" s="141" t="s">
        <v>79</v>
      </c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</row>
    <row r="44" spans="1:16" x14ac:dyDescent="0.2">
      <c r="A44" s="141" t="s">
        <v>80</v>
      </c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</row>
    <row r="45" spans="1:16" x14ac:dyDescent="0.2">
      <c r="A45" s="141" t="s">
        <v>81</v>
      </c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</row>
    <row r="46" spans="1:16" x14ac:dyDescent="0.2">
      <c r="A46" s="141" t="s">
        <v>82</v>
      </c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</row>
    <row r="47" spans="1:16" x14ac:dyDescent="0.2">
      <c r="A47" s="141" t="s">
        <v>83</v>
      </c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</row>
    <row r="48" spans="1:16" x14ac:dyDescent="0.2">
      <c r="A48" s="141" t="s">
        <v>235</v>
      </c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</row>
    <row r="49" spans="1:16" x14ac:dyDescent="0.2">
      <c r="A49" s="141"/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</row>
    <row r="50" spans="1:16" x14ac:dyDescent="0.2">
      <c r="A50" s="141"/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</row>
    <row r="51" spans="1:16" x14ac:dyDescent="0.2">
      <c r="A51" s="141" t="s">
        <v>84</v>
      </c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</row>
    <row r="52" spans="1:16" x14ac:dyDescent="0.2">
      <c r="A52" s="141" t="s">
        <v>85</v>
      </c>
      <c r="B52" s="141"/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</row>
    <row r="53" spans="1:16" x14ac:dyDescent="0.2">
      <c r="A53" s="141" t="s">
        <v>86</v>
      </c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</row>
    <row r="54" spans="1:16" x14ac:dyDescent="0.2">
      <c r="A54" s="141" t="s">
        <v>87</v>
      </c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</row>
    <row r="55" spans="1:16" x14ac:dyDescent="0.2">
      <c r="A55" s="140"/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</row>
    <row r="56" spans="1:16" x14ac:dyDescent="0.2">
      <c r="A56" s="140"/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</row>
    <row r="57" spans="1:16" x14ac:dyDescent="0.2">
      <c r="A57" s="140"/>
      <c r="B57" s="140"/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</row>
    <row r="58" spans="1:16" x14ac:dyDescent="0.2">
      <c r="A58" s="140"/>
      <c r="B58" s="140"/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</row>
    <row r="59" spans="1:16" x14ac:dyDescent="0.2">
      <c r="A59" s="140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</row>
    <row r="60" spans="1:16" x14ac:dyDescent="0.2">
      <c r="A60" s="140"/>
      <c r="B60" s="140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</row>
    <row r="61" spans="1:16" x14ac:dyDescent="0.2">
      <c r="A61" s="140"/>
      <c r="B61" s="140"/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</row>
    <row r="62" spans="1:16" x14ac:dyDescent="0.2">
      <c r="A62" s="140"/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</row>
    <row r="63" spans="1:16" x14ac:dyDescent="0.2">
      <c r="A63" s="140"/>
      <c r="B63" s="140"/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</row>
    <row r="64" spans="1:16" x14ac:dyDescent="0.2">
      <c r="A64" s="140"/>
      <c r="B64" s="140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</row>
    <row r="65" spans="1:16" x14ac:dyDescent="0.2">
      <c r="A65" s="140"/>
      <c r="B65" s="140"/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140"/>
    </row>
    <row r="66" spans="1:16" x14ac:dyDescent="0.2">
      <c r="A66" s="140"/>
      <c r="B66" s="140"/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140"/>
      <c r="P66" s="140"/>
    </row>
    <row r="67" spans="1:16" x14ac:dyDescent="0.2">
      <c r="A67" s="140"/>
      <c r="B67" s="140"/>
      <c r="C67" s="140"/>
      <c r="D67" s="140"/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140"/>
    </row>
    <row r="68" spans="1:16" x14ac:dyDescent="0.2">
      <c r="A68" s="140"/>
      <c r="B68" s="140"/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</row>
    <row r="69" spans="1:16" x14ac:dyDescent="0.2">
      <c r="A69" s="140"/>
      <c r="B69" s="140"/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0"/>
    </row>
    <row r="70" spans="1:16" x14ac:dyDescent="0.2">
      <c r="A70" s="140"/>
      <c r="B70" s="140"/>
      <c r="C70" s="140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</row>
    <row r="71" spans="1:16" x14ac:dyDescent="0.2">
      <c r="A71" s="140"/>
      <c r="B71" s="140"/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</row>
    <row r="72" spans="1:16" x14ac:dyDescent="0.2">
      <c r="A72" s="140"/>
      <c r="B72" s="140"/>
      <c r="C72" s="140"/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</row>
    <row r="74" spans="1:16" x14ac:dyDescent="0.2">
      <c r="A74" s="3" t="s">
        <v>88</v>
      </c>
    </row>
    <row r="75" spans="1:16" x14ac:dyDescent="0.2">
      <c r="B75" s="3" t="s">
        <v>96</v>
      </c>
      <c r="C75" s="3" t="s">
        <v>97</v>
      </c>
      <c r="D75" s="3" t="s">
        <v>98</v>
      </c>
      <c r="E75" s="3" t="s">
        <v>99</v>
      </c>
      <c r="F75" s="3" t="s">
        <v>96</v>
      </c>
      <c r="G75" s="3" t="s">
        <v>97</v>
      </c>
    </row>
    <row r="76" spans="1:16" x14ac:dyDescent="0.2">
      <c r="A76" s="3" t="s">
        <v>89</v>
      </c>
      <c r="B76" s="3">
        <v>6</v>
      </c>
      <c r="D76" s="3">
        <v>44.21</v>
      </c>
      <c r="E76" s="142">
        <v>66.31</v>
      </c>
      <c r="F76" s="3">
        <f>$D$76*B76</f>
        <v>265.26</v>
      </c>
    </row>
    <row r="77" spans="1:16" x14ac:dyDescent="0.2">
      <c r="A77" s="3" t="s">
        <v>90</v>
      </c>
      <c r="B77" s="3">
        <v>16</v>
      </c>
      <c r="E77" s="142"/>
      <c r="F77" s="3">
        <f t="shared" ref="F77:F81" si="1">$D$76*B77</f>
        <v>707.36</v>
      </c>
    </row>
    <row r="78" spans="1:16" x14ac:dyDescent="0.2">
      <c r="A78" s="3" t="s">
        <v>91</v>
      </c>
      <c r="B78" s="3">
        <v>16</v>
      </c>
      <c r="E78" s="142"/>
      <c r="F78" s="3">
        <f t="shared" si="1"/>
        <v>707.36</v>
      </c>
    </row>
    <row r="79" spans="1:16" x14ac:dyDescent="0.2">
      <c r="A79" s="3" t="s">
        <v>92</v>
      </c>
      <c r="B79" s="3">
        <v>16</v>
      </c>
      <c r="E79" s="142"/>
      <c r="F79" s="3">
        <f t="shared" si="1"/>
        <v>707.36</v>
      </c>
    </row>
    <row r="80" spans="1:16" x14ac:dyDescent="0.2">
      <c r="A80" s="3" t="s">
        <v>93</v>
      </c>
      <c r="B80" s="3">
        <v>16</v>
      </c>
      <c r="E80" s="142"/>
      <c r="F80" s="3">
        <f t="shared" si="1"/>
        <v>707.36</v>
      </c>
    </row>
    <row r="81" spans="1:7" x14ac:dyDescent="0.2">
      <c r="A81" s="3" t="s">
        <v>94</v>
      </c>
      <c r="B81" s="3">
        <v>11</v>
      </c>
      <c r="E81" s="142"/>
      <c r="F81" s="3">
        <f t="shared" si="1"/>
        <v>486.31</v>
      </c>
    </row>
    <row r="82" spans="1:7" x14ac:dyDescent="0.2">
      <c r="A82" s="3" t="s">
        <v>95</v>
      </c>
      <c r="C82" s="3">
        <v>10</v>
      </c>
      <c r="F82" s="3">
        <f>$D$76*B82</f>
        <v>0</v>
      </c>
      <c r="G82" s="3">
        <f>E76*C82</f>
        <v>663.1</v>
      </c>
    </row>
    <row r="84" spans="1:7" x14ac:dyDescent="0.2">
      <c r="E84" s="3" t="s">
        <v>100</v>
      </c>
      <c r="F84" s="3">
        <f>SUM(F76:F83)+G82</f>
        <v>4244.1100000000006</v>
      </c>
    </row>
    <row r="85" spans="1:7" x14ac:dyDescent="0.2">
      <c r="E85" s="3" t="s">
        <v>101</v>
      </c>
      <c r="F85" s="3">
        <f>F84*4</f>
        <v>16976.440000000002</v>
      </c>
    </row>
  </sheetData>
  <mergeCells count="40">
    <mergeCell ref="E76:E81"/>
    <mergeCell ref="A45:P45"/>
    <mergeCell ref="A3:A4"/>
    <mergeCell ref="A5:A7"/>
    <mergeCell ref="A9:A11"/>
    <mergeCell ref="A12:A15"/>
    <mergeCell ref="A16:A18"/>
    <mergeCell ref="A19:A21"/>
    <mergeCell ref="A22:A26"/>
    <mergeCell ref="A41:P41"/>
    <mergeCell ref="A42:P42"/>
    <mergeCell ref="A43:P43"/>
    <mergeCell ref="A44:P44"/>
    <mergeCell ref="A57:P57"/>
    <mergeCell ref="A46:P46"/>
    <mergeCell ref="A47:P47"/>
    <mergeCell ref="A48:P48"/>
    <mergeCell ref="A49:P49"/>
    <mergeCell ref="A50:P50"/>
    <mergeCell ref="A51:P51"/>
    <mergeCell ref="A52:P52"/>
    <mergeCell ref="A53:P53"/>
    <mergeCell ref="A54:P54"/>
    <mergeCell ref="A55:P55"/>
    <mergeCell ref="A56:P56"/>
    <mergeCell ref="A58:P58"/>
    <mergeCell ref="A59:P59"/>
    <mergeCell ref="A60:P60"/>
    <mergeCell ref="A67:P67"/>
    <mergeCell ref="A61:P61"/>
    <mergeCell ref="A62:P62"/>
    <mergeCell ref="A63:P63"/>
    <mergeCell ref="A64:P64"/>
    <mergeCell ref="A65:P65"/>
    <mergeCell ref="A66:P66"/>
    <mergeCell ref="A68:P68"/>
    <mergeCell ref="A69:P69"/>
    <mergeCell ref="A70:P70"/>
    <mergeCell ref="A71:P71"/>
    <mergeCell ref="A72:P7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8"/>
  <sheetViews>
    <sheetView rightToLeft="1" tabSelected="1" showWhiteSpace="0" zoomScaleNormal="100" workbookViewId="0">
      <selection activeCell="A2" sqref="A2"/>
    </sheetView>
  </sheetViews>
  <sheetFormatPr defaultRowHeight="14.25" x14ac:dyDescent="0.2"/>
  <cols>
    <col min="1" max="1" width="27.25" customWidth="1"/>
    <col min="2" max="2" width="11" bestFit="1" customWidth="1"/>
    <col min="3" max="3" width="10.875" bestFit="1" customWidth="1"/>
    <col min="4" max="4" width="11.125" bestFit="1" customWidth="1"/>
    <col min="5" max="5" width="11" bestFit="1" customWidth="1"/>
    <col min="6" max="6" width="10.875" bestFit="1" customWidth="1"/>
    <col min="7" max="7" width="11.125" bestFit="1" customWidth="1"/>
    <col min="8" max="8" width="12.5" customWidth="1"/>
    <col min="9" max="9" width="11.875" customWidth="1"/>
    <col min="10" max="10" width="12" customWidth="1"/>
  </cols>
  <sheetData>
    <row r="2" spans="1:13" ht="18" x14ac:dyDescent="0.25">
      <c r="B2" s="55" t="s">
        <v>231</v>
      </c>
    </row>
    <row r="3" spans="1:13" ht="15" thickBot="1" x14ac:dyDescent="0.25"/>
    <row r="4" spans="1:13" ht="16.5" thickTop="1" thickBot="1" x14ac:dyDescent="0.3">
      <c r="A4" s="138" t="s">
        <v>219</v>
      </c>
      <c r="B4" s="132">
        <v>2018</v>
      </c>
      <c r="C4" s="133"/>
      <c r="D4" s="134"/>
      <c r="E4" s="132">
        <v>2017</v>
      </c>
      <c r="F4" s="135"/>
      <c r="G4" s="136"/>
      <c r="H4" s="137" t="s">
        <v>232</v>
      </c>
      <c r="I4" s="135"/>
      <c r="J4" s="136"/>
    </row>
    <row r="5" spans="1:13" s="2" customFormat="1" ht="15.75" thickBot="1" x14ac:dyDescent="0.3">
      <c r="A5" s="139"/>
      <c r="B5" s="59" t="s">
        <v>0</v>
      </c>
      <c r="C5" s="31" t="s">
        <v>1</v>
      </c>
      <c r="D5" s="60" t="s">
        <v>218</v>
      </c>
      <c r="E5" s="59" t="s">
        <v>0</v>
      </c>
      <c r="F5" s="31" t="s">
        <v>1</v>
      </c>
      <c r="G5" s="60" t="s">
        <v>218</v>
      </c>
      <c r="H5" s="64" t="s">
        <v>0</v>
      </c>
      <c r="I5" s="65" t="s">
        <v>1</v>
      </c>
      <c r="J5" s="66" t="s">
        <v>218</v>
      </c>
    </row>
    <row r="6" spans="1:13" ht="15" x14ac:dyDescent="0.25">
      <c r="A6" s="61" t="s">
        <v>2</v>
      </c>
      <c r="B6" s="103">
        <f>'קאנטרי קלאב'!N9</f>
        <v>5973216</v>
      </c>
      <c r="C6" s="104">
        <f>'קאנטרי קלאב'!N36</f>
        <v>5158760</v>
      </c>
      <c r="D6" s="67">
        <f>B6-C6</f>
        <v>814456</v>
      </c>
      <c r="E6" s="103">
        <f>'קאנטרי קלאב'!O9</f>
        <v>5742978</v>
      </c>
      <c r="F6" s="104">
        <f>'קאנטרי קלאב'!O36</f>
        <v>5125281</v>
      </c>
      <c r="G6" s="67">
        <f>'קאנטרי קלאב'!O38</f>
        <v>617697</v>
      </c>
      <c r="H6" s="69">
        <f>B6-E6</f>
        <v>230238</v>
      </c>
      <c r="I6" s="68">
        <f>C6-F6</f>
        <v>33479</v>
      </c>
      <c r="J6" s="67">
        <f>D6-G6</f>
        <v>196759</v>
      </c>
    </row>
    <row r="7" spans="1:13" ht="15" x14ac:dyDescent="0.25">
      <c r="A7" s="62" t="s">
        <v>137</v>
      </c>
      <c r="B7" s="103">
        <f>'מזנון בריכה קאנטרי קלאב'!N4</f>
        <v>30000</v>
      </c>
      <c r="C7" s="104">
        <f>'מזנון בריכה קאנטרי קלאב'!N12</f>
        <v>0</v>
      </c>
      <c r="D7" s="67">
        <f>B7-C7</f>
        <v>30000</v>
      </c>
      <c r="E7" s="103">
        <f>'מזנון בריכה קאנטרי קלאב'!O4</f>
        <v>175989</v>
      </c>
      <c r="F7" s="104">
        <f>'מזנון בריכה קאנטרי קלאב'!O12</f>
        <v>108530</v>
      </c>
      <c r="G7" s="67">
        <f>'מזנון בריכה קאנטרי קלאב'!O14</f>
        <v>67459</v>
      </c>
      <c r="H7" s="69">
        <f t="shared" ref="H7:J22" si="0">B7-E7</f>
        <v>-145989</v>
      </c>
      <c r="I7" s="68">
        <f t="shared" si="0"/>
        <v>-108530</v>
      </c>
      <c r="J7" s="67">
        <f t="shared" si="0"/>
        <v>-37459</v>
      </c>
    </row>
    <row r="8" spans="1:13" ht="15" x14ac:dyDescent="0.25">
      <c r="A8" s="62" t="s">
        <v>49</v>
      </c>
      <c r="B8" s="103">
        <f>'בריכה עפולה עילית'!N7</f>
        <v>350000</v>
      </c>
      <c r="C8" s="104">
        <f>'בריכה עפולה עילית'!N30</f>
        <v>268500</v>
      </c>
      <c r="D8" s="67">
        <f>B8-C8</f>
        <v>81500</v>
      </c>
      <c r="E8" s="103">
        <f>'בריכה עפולה עילית'!O7</f>
        <v>313578</v>
      </c>
      <c r="F8" s="104">
        <f>'בריכה עפולה עילית'!O30</f>
        <v>238804</v>
      </c>
      <c r="G8" s="67">
        <f>'בריכה עפולה עילית'!O32</f>
        <v>74774</v>
      </c>
      <c r="H8" s="69">
        <f t="shared" si="0"/>
        <v>36422</v>
      </c>
      <c r="I8" s="68">
        <f t="shared" si="0"/>
        <v>29696</v>
      </c>
      <c r="J8" s="67">
        <f t="shared" si="0"/>
        <v>6726</v>
      </c>
      <c r="K8" s="30"/>
      <c r="L8" s="30"/>
      <c r="M8" s="30"/>
    </row>
    <row r="9" spans="1:13" ht="15" x14ac:dyDescent="0.25">
      <c r="A9" s="62" t="s">
        <v>136</v>
      </c>
      <c r="B9" s="103">
        <f>'מזנון בריכה עפולה עילית '!N5</f>
        <v>30000</v>
      </c>
      <c r="C9" s="104">
        <f>'מזנון בריכה עפולה עילית '!N13</f>
        <v>0</v>
      </c>
      <c r="D9" s="67">
        <f>B9-C9</f>
        <v>30000</v>
      </c>
      <c r="E9" s="103">
        <f>'מזנון בריכה עפולה עילית '!O5</f>
        <v>156513</v>
      </c>
      <c r="F9" s="104">
        <f>'מזנון בריכה עפולה עילית '!O13</f>
        <v>163163</v>
      </c>
      <c r="G9" s="67">
        <f>'מזנון בריכה עפולה עילית '!O15</f>
        <v>-6650</v>
      </c>
      <c r="H9" s="69">
        <f t="shared" si="0"/>
        <v>-126513</v>
      </c>
      <c r="I9" s="68">
        <f t="shared" si="0"/>
        <v>-163163</v>
      </c>
      <c r="J9" s="67">
        <f t="shared" si="0"/>
        <v>36650</v>
      </c>
      <c r="K9" s="30"/>
      <c r="L9" s="30"/>
      <c r="M9" s="30"/>
    </row>
    <row r="10" spans="1:13" ht="15" x14ac:dyDescent="0.25">
      <c r="A10" s="62" t="s">
        <v>256</v>
      </c>
      <c r="B10" s="103">
        <f>'חממה טכנולוגית- מרכז חדשנות'!N7</f>
        <v>438900</v>
      </c>
      <c r="C10" s="104">
        <f>'חממה טכנולוגית- מרכז חדשנות'!N29</f>
        <v>487200</v>
      </c>
      <c r="D10" s="67">
        <f t="shared" ref="D10:D19" si="1">B10-C10</f>
        <v>-48300</v>
      </c>
      <c r="E10" s="103">
        <f>'חממה טכנולוגית- מרכז חדשנות'!O7</f>
        <v>354318</v>
      </c>
      <c r="F10" s="104">
        <f>'חממה טכנולוגית- מרכז חדשנות'!O29</f>
        <v>64414</v>
      </c>
      <c r="G10" s="67">
        <f>'חממה טכנולוגית- מרכז חדשנות'!O7-'חממה טכנולוגית- מרכז חדשנות'!O29</f>
        <v>289904</v>
      </c>
      <c r="H10" s="69">
        <f t="shared" si="0"/>
        <v>84582</v>
      </c>
      <c r="I10" s="68">
        <f t="shared" si="0"/>
        <v>422786</v>
      </c>
      <c r="J10" s="67">
        <f t="shared" si="0"/>
        <v>-338204</v>
      </c>
      <c r="K10" s="30"/>
      <c r="L10" s="30"/>
      <c r="M10" s="30"/>
    </row>
    <row r="11" spans="1:13" ht="15" x14ac:dyDescent="0.25">
      <c r="A11" s="62" t="s">
        <v>4</v>
      </c>
      <c r="B11" s="103">
        <f>'הכנסות מדמי שכירות'!N3</f>
        <v>0</v>
      </c>
      <c r="C11" s="104">
        <f>'הכנסות מדמי שכירות'!N13</f>
        <v>0</v>
      </c>
      <c r="D11" s="67">
        <f t="shared" si="1"/>
        <v>0</v>
      </c>
      <c r="E11" s="103">
        <f>'הכנסות מדמי שכירות'!O3</f>
        <v>0</v>
      </c>
      <c r="F11" s="104">
        <f>'הכנסות מדמי שכירות'!O13</f>
        <v>1539</v>
      </c>
      <c r="G11" s="67">
        <f>'הכנסות מדמי שכירות'!O3-'הכנסות מדמי שכירות'!O13</f>
        <v>-1539</v>
      </c>
      <c r="H11" s="69">
        <f t="shared" si="0"/>
        <v>0</v>
      </c>
      <c r="I11" s="68">
        <f t="shared" si="0"/>
        <v>-1539</v>
      </c>
      <c r="J11" s="67">
        <f t="shared" si="0"/>
        <v>1539</v>
      </c>
      <c r="K11" s="30"/>
      <c r="L11" s="30"/>
      <c r="M11" s="30"/>
    </row>
    <row r="12" spans="1:13" ht="15" x14ac:dyDescent="0.25">
      <c r="A12" s="62" t="s">
        <v>5</v>
      </c>
      <c r="B12" s="103">
        <f>'הכנסות מדמי שכירות'!N5</f>
        <v>336000</v>
      </c>
      <c r="C12" s="104">
        <f>'הכנסות מדמי שכירות'!N15</f>
        <v>201600</v>
      </c>
      <c r="D12" s="67">
        <f t="shared" si="1"/>
        <v>134400</v>
      </c>
      <c r="E12" s="103">
        <f>'הכנסות מדמי שכירות'!O5</f>
        <v>318337</v>
      </c>
      <c r="F12" s="104">
        <f>'הכנסות מדמי שכירות'!O15</f>
        <v>191002.19999999998</v>
      </c>
      <c r="G12" s="67">
        <f>'הכנסות מדמי שכירות'!O5-'הכנסות מדמי שכירות'!O15</f>
        <v>127334.80000000002</v>
      </c>
      <c r="H12" s="69">
        <f t="shared" si="0"/>
        <v>17663</v>
      </c>
      <c r="I12" s="68">
        <f t="shared" si="0"/>
        <v>10597.800000000017</v>
      </c>
      <c r="J12" s="67">
        <f t="shared" si="0"/>
        <v>7065.1999999999825</v>
      </c>
      <c r="K12" s="30"/>
      <c r="L12" s="30"/>
      <c r="M12" s="30"/>
    </row>
    <row r="13" spans="1:13" ht="15" x14ac:dyDescent="0.25">
      <c r="A13" s="62" t="s">
        <v>3</v>
      </c>
      <c r="B13" s="103">
        <f>'הכנסות מדמי שכירות'!N4</f>
        <v>1416000</v>
      </c>
      <c r="C13" s="104">
        <f>'הכנסות מדמי שכירות'!N14</f>
        <v>0</v>
      </c>
      <c r="D13" s="67">
        <f>B13-C13</f>
        <v>1416000</v>
      </c>
      <c r="E13" s="103">
        <f>'הכנסות מדמי שכירות'!O4</f>
        <v>1191787</v>
      </c>
      <c r="F13" s="104">
        <f>'הכנסות מדמי שכירות'!O14</f>
        <v>0</v>
      </c>
      <c r="G13" s="67">
        <f>'הכנסות מדמי שכירות'!O4-'הכנסות מדמי שכירות'!O14</f>
        <v>1191787</v>
      </c>
      <c r="H13" s="69">
        <f>B13-E13</f>
        <v>224213</v>
      </c>
      <c r="I13" s="68">
        <f>C13-F13</f>
        <v>0</v>
      </c>
      <c r="J13" s="67">
        <f>D13-G13</f>
        <v>224213</v>
      </c>
      <c r="K13" s="30"/>
      <c r="L13" s="30"/>
      <c r="M13" s="30"/>
    </row>
    <row r="14" spans="1:13" ht="15" x14ac:dyDescent="0.25">
      <c r="A14" s="62" t="s">
        <v>243</v>
      </c>
      <c r="B14" s="103">
        <f>'ברוש - מרכז יזמות וחדשנות'!N7</f>
        <v>84200</v>
      </c>
      <c r="C14" s="104">
        <f>'ברוש - מרכז יזמות וחדשנות'!N28</f>
        <v>32400</v>
      </c>
      <c r="D14" s="67">
        <f t="shared" si="1"/>
        <v>51800</v>
      </c>
      <c r="E14" s="103">
        <f>'ברוש - מרכז יזמות וחדשנות'!O7</f>
        <v>0</v>
      </c>
      <c r="F14" s="104">
        <f>'ברוש - מרכז יזמות וחדשנות'!O28</f>
        <v>0</v>
      </c>
      <c r="G14" s="67"/>
      <c r="H14" s="69">
        <f t="shared" si="0"/>
        <v>84200</v>
      </c>
      <c r="I14" s="68">
        <f t="shared" si="0"/>
        <v>32400</v>
      </c>
      <c r="J14" s="67">
        <f t="shared" si="0"/>
        <v>51800</v>
      </c>
      <c r="K14" s="30"/>
      <c r="L14" s="30"/>
      <c r="M14" s="30"/>
    </row>
    <row r="15" spans="1:13" ht="15" x14ac:dyDescent="0.25">
      <c r="A15" s="62" t="s">
        <v>6</v>
      </c>
      <c r="B15" s="103"/>
      <c r="C15" s="104"/>
      <c r="D15" s="67">
        <f t="shared" si="1"/>
        <v>0</v>
      </c>
      <c r="E15" s="103"/>
      <c r="F15" s="104"/>
      <c r="G15" s="67"/>
      <c r="H15" s="69">
        <f t="shared" si="0"/>
        <v>0</v>
      </c>
      <c r="I15" s="68">
        <f t="shared" si="0"/>
        <v>0</v>
      </c>
      <c r="J15" s="67">
        <f t="shared" si="0"/>
        <v>0</v>
      </c>
      <c r="K15" s="30" t="s">
        <v>286</v>
      </c>
      <c r="L15" s="30"/>
      <c r="M15" s="30"/>
    </row>
    <row r="16" spans="1:13" ht="15" x14ac:dyDescent="0.25">
      <c r="A16" s="62" t="s">
        <v>7</v>
      </c>
      <c r="B16" s="103">
        <f>'מתחם תחנת הרכבת'!N10</f>
        <v>0</v>
      </c>
      <c r="C16" s="104">
        <f>'מתחם תחנת הרכבת'!N36</f>
        <v>0</v>
      </c>
      <c r="D16" s="67">
        <f t="shared" si="1"/>
        <v>0</v>
      </c>
      <c r="E16" s="103">
        <f>'מתחם תחנת הרכבת'!O10</f>
        <v>0</v>
      </c>
      <c r="F16" s="104">
        <f>'מתחם תחנת הרכבת'!O36</f>
        <v>0</v>
      </c>
      <c r="G16" s="67"/>
      <c r="H16" s="69">
        <f t="shared" si="0"/>
        <v>0</v>
      </c>
      <c r="I16" s="68">
        <f t="shared" si="0"/>
        <v>0</v>
      </c>
      <c r="J16" s="67">
        <f t="shared" si="0"/>
        <v>0</v>
      </c>
      <c r="K16" s="30" t="s">
        <v>284</v>
      </c>
      <c r="L16" s="30"/>
      <c r="M16" s="30"/>
    </row>
    <row r="17" spans="1:13" ht="15" x14ac:dyDescent="0.25">
      <c r="A17" s="62" t="s">
        <v>197</v>
      </c>
      <c r="B17" s="103">
        <f>'הכנסות מדמי שכירות'!N7</f>
        <v>54000</v>
      </c>
      <c r="C17" s="104">
        <f>'הכנסות מדמי שכירות'!N17</f>
        <v>12000</v>
      </c>
      <c r="D17" s="67">
        <f t="shared" si="1"/>
        <v>42000</v>
      </c>
      <c r="E17" s="103">
        <f>'הכנסות מדמי שכירות'!O7</f>
        <v>38700</v>
      </c>
      <c r="F17" s="104">
        <f>'הכנסות מדמי שכירות'!O17</f>
        <v>13832</v>
      </c>
      <c r="G17" s="67">
        <f>'הכנסות מדמי שכירות'!O7-'הכנסות מדמי שכירות'!O17</f>
        <v>24868</v>
      </c>
      <c r="H17" s="69">
        <f t="shared" si="0"/>
        <v>15300</v>
      </c>
      <c r="I17" s="68">
        <f t="shared" si="0"/>
        <v>-1832</v>
      </c>
      <c r="J17" s="67">
        <f t="shared" si="0"/>
        <v>17132</v>
      </c>
      <c r="K17" s="30"/>
      <c r="L17" s="30"/>
      <c r="M17" s="30"/>
    </row>
    <row r="18" spans="1:13" ht="15" x14ac:dyDescent="0.25">
      <c r="A18" s="62" t="s">
        <v>48</v>
      </c>
      <c r="B18" s="103">
        <f>'העסקת עובדי עירייה'!N9</f>
        <v>0</v>
      </c>
      <c r="C18" s="104">
        <f>'העסקת עובדי עירייה'!N23</f>
        <v>0</v>
      </c>
      <c r="D18" s="67">
        <f t="shared" si="1"/>
        <v>0</v>
      </c>
      <c r="E18" s="103">
        <f>'העסקת עובדי עירייה'!O9</f>
        <v>1884924</v>
      </c>
      <c r="F18" s="104">
        <f>'העסקת עובדי עירייה'!O23</f>
        <v>1756758</v>
      </c>
      <c r="G18" s="67">
        <f>'העסקת עובדי עירייה'!O25</f>
        <v>128166</v>
      </c>
      <c r="H18" s="69">
        <f t="shared" si="0"/>
        <v>-1884924</v>
      </c>
      <c r="I18" s="68">
        <f t="shared" si="0"/>
        <v>-1756758</v>
      </c>
      <c r="J18" s="67">
        <f t="shared" si="0"/>
        <v>-128166</v>
      </c>
      <c r="K18" s="30"/>
      <c r="L18" s="30"/>
      <c r="M18" s="30"/>
    </row>
    <row r="19" spans="1:13" ht="15" x14ac:dyDescent="0.25">
      <c r="A19" s="62" t="s">
        <v>257</v>
      </c>
      <c r="B19" s="103">
        <f>'מנהלת הסכם הגג'!N6</f>
        <v>2454000</v>
      </c>
      <c r="C19" s="104">
        <f>'מנהלת הסכם הגג'!N30</f>
        <v>2454000</v>
      </c>
      <c r="D19" s="67">
        <f t="shared" si="1"/>
        <v>0</v>
      </c>
      <c r="E19" s="103">
        <f>'מנהלת הסכם הגג'!O6</f>
        <v>522826</v>
      </c>
      <c r="F19" s="104">
        <f>'מנהלת הסכם הגג'!O30</f>
        <v>522826</v>
      </c>
      <c r="G19" s="67">
        <f>E19-F19</f>
        <v>0</v>
      </c>
      <c r="H19" s="69">
        <f>B19-E19</f>
        <v>1931174</v>
      </c>
      <c r="I19" s="68">
        <f t="shared" si="0"/>
        <v>1931174</v>
      </c>
      <c r="J19" s="67">
        <f t="shared" si="0"/>
        <v>0</v>
      </c>
    </row>
    <row r="20" spans="1:13" ht="15" x14ac:dyDescent="0.25">
      <c r="A20" s="62" t="s">
        <v>130</v>
      </c>
      <c r="B20" s="103"/>
      <c r="C20" s="104">
        <f>'הנהלה וכלליות'!N23</f>
        <v>1393300</v>
      </c>
      <c r="D20" s="67">
        <f>B20-C20</f>
        <v>-1393300</v>
      </c>
      <c r="E20" s="103"/>
      <c r="F20" s="104">
        <f>'הנהלה וכלליות'!O23</f>
        <v>1382319</v>
      </c>
      <c r="G20" s="67">
        <f>-'הנהלה וכלליות'!O23</f>
        <v>-1382319</v>
      </c>
      <c r="H20" s="69">
        <f t="shared" si="0"/>
        <v>0</v>
      </c>
      <c r="I20" s="68">
        <f t="shared" si="0"/>
        <v>10981</v>
      </c>
      <c r="J20" s="67">
        <f t="shared" si="0"/>
        <v>-10981</v>
      </c>
      <c r="K20" s="30"/>
      <c r="L20" s="30"/>
      <c r="M20" s="30"/>
    </row>
    <row r="21" spans="1:13" ht="15" x14ac:dyDescent="0.25">
      <c r="A21" s="62" t="s">
        <v>288</v>
      </c>
      <c r="B21" s="103">
        <f>'פרויקטים - תב"רים'!C11</f>
        <v>668458.6</v>
      </c>
      <c r="C21" s="104"/>
      <c r="D21" s="67">
        <f>B21-C21</f>
        <v>668458.6</v>
      </c>
      <c r="E21" s="103"/>
      <c r="F21" s="104"/>
      <c r="G21" s="67">
        <f>-'הנהלה וכלליות'!O24</f>
        <v>0</v>
      </c>
      <c r="H21" s="69">
        <f t="shared" ref="H21" si="2">B21-E21</f>
        <v>668458.6</v>
      </c>
      <c r="I21" s="68">
        <f t="shared" ref="I21" si="3">C21-F21</f>
        <v>0</v>
      </c>
      <c r="J21" s="67">
        <f t="shared" si="0"/>
        <v>668458.6</v>
      </c>
      <c r="K21" s="30"/>
      <c r="L21" s="30"/>
      <c r="M21" s="30"/>
    </row>
    <row r="22" spans="1:13" ht="15" x14ac:dyDescent="0.25">
      <c r="A22" s="62"/>
      <c r="B22" s="123"/>
      <c r="C22" s="124"/>
      <c r="D22" s="125"/>
      <c r="E22" s="123"/>
      <c r="F22" s="124"/>
      <c r="G22" s="67"/>
      <c r="H22" s="69">
        <f t="shared" ref="H22:H23" si="4">B22-E22</f>
        <v>0</v>
      </c>
      <c r="I22" s="68">
        <f t="shared" ref="I22:J23" si="5">C22-F22</f>
        <v>0</v>
      </c>
      <c r="J22" s="67">
        <f t="shared" si="0"/>
        <v>0</v>
      </c>
      <c r="K22" s="30"/>
      <c r="L22" s="30"/>
      <c r="M22" s="30"/>
    </row>
    <row r="23" spans="1:13" ht="15" x14ac:dyDescent="0.25">
      <c r="A23" s="62" t="s">
        <v>221</v>
      </c>
      <c r="B23" s="103"/>
      <c r="C23" s="104">
        <v>2500000</v>
      </c>
      <c r="D23" s="67">
        <f t="shared" ref="D23" si="6">B23-C23</f>
        <v>-2500000</v>
      </c>
      <c r="E23" s="103"/>
      <c r="F23" s="104">
        <v>2500000</v>
      </c>
      <c r="G23" s="67">
        <f t="shared" ref="G23" si="7">E23-F23</f>
        <v>-2500000</v>
      </c>
      <c r="H23" s="69">
        <f t="shared" si="4"/>
        <v>0</v>
      </c>
      <c r="I23" s="68">
        <f t="shared" si="5"/>
        <v>0</v>
      </c>
      <c r="J23" s="67">
        <f t="shared" si="5"/>
        <v>0</v>
      </c>
      <c r="K23" s="30"/>
      <c r="L23" s="30"/>
      <c r="M23" s="30"/>
    </row>
    <row r="24" spans="1:13" ht="15.75" thickBot="1" x14ac:dyDescent="0.3">
      <c r="A24" s="63"/>
      <c r="B24" s="70"/>
      <c r="C24" s="71"/>
      <c r="D24" s="72"/>
      <c r="E24" s="70"/>
      <c r="F24" s="71"/>
      <c r="G24" s="72"/>
      <c r="H24" s="70"/>
      <c r="I24" s="71"/>
      <c r="J24" s="72"/>
    </row>
    <row r="25" spans="1:13" ht="15.75" thickBot="1" x14ac:dyDescent="0.3">
      <c r="A25" s="58" t="s">
        <v>192</v>
      </c>
      <c r="B25" s="73">
        <f t="shared" ref="B25:G25" si="8">SUM(B6:B24)</f>
        <v>11834774.6</v>
      </c>
      <c r="C25" s="74">
        <f t="shared" si="8"/>
        <v>12507760</v>
      </c>
      <c r="D25" s="75">
        <f t="shared" si="8"/>
        <v>-672985.39999999991</v>
      </c>
      <c r="E25" s="73">
        <f t="shared" si="8"/>
        <v>10699950</v>
      </c>
      <c r="F25" s="74">
        <f t="shared" si="8"/>
        <v>12068468.199999999</v>
      </c>
      <c r="G25" s="75">
        <f t="shared" si="8"/>
        <v>-1368518.2000000002</v>
      </c>
      <c r="H25" s="73">
        <f t="shared" ref="H25:I25" si="9">SUM(H6:H24)</f>
        <v>1134824.6000000001</v>
      </c>
      <c r="I25" s="74">
        <f t="shared" si="9"/>
        <v>439291.80000000005</v>
      </c>
      <c r="J25" s="75">
        <f>SUM(J6:J24)</f>
        <v>695532.79999999993</v>
      </c>
    </row>
    <row r="26" spans="1:13" ht="15.75" thickTop="1" thickBot="1" x14ac:dyDescent="0.25"/>
    <row r="27" spans="1:13" ht="15.75" thickBot="1" x14ac:dyDescent="0.3">
      <c r="A27" s="58" t="s">
        <v>229</v>
      </c>
      <c r="B27" s="73">
        <f>B25</f>
        <v>11834774.6</v>
      </c>
      <c r="C27" s="74">
        <f>C25-C23</f>
        <v>10007760</v>
      </c>
      <c r="D27" s="75">
        <f>B27-C27</f>
        <v>1827014.5999999996</v>
      </c>
      <c r="E27" s="73">
        <f>E25</f>
        <v>10699950</v>
      </c>
      <c r="F27" s="74">
        <f>F25-F23</f>
        <v>9568468.1999999993</v>
      </c>
      <c r="G27" s="75">
        <f>E27-F27</f>
        <v>1131481.8000000007</v>
      </c>
      <c r="H27" s="73">
        <f>H25</f>
        <v>1134824.6000000001</v>
      </c>
      <c r="I27" s="74">
        <f>I25-I23</f>
        <v>439291.80000000005</v>
      </c>
      <c r="J27" s="75">
        <f>H27-I27</f>
        <v>695532.8</v>
      </c>
    </row>
    <row r="28" spans="1:13" ht="15" thickTop="1" x14ac:dyDescent="0.2">
      <c r="F28" s="30"/>
    </row>
  </sheetData>
  <mergeCells count="4">
    <mergeCell ref="B4:D4"/>
    <mergeCell ref="E4:G4"/>
    <mergeCell ref="H4:J4"/>
    <mergeCell ref="A4:A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showGridLines="0" rightToLeft="1" zoomScaleNormal="100" workbookViewId="0">
      <selection activeCell="A10" sqref="A10"/>
    </sheetView>
  </sheetViews>
  <sheetFormatPr defaultRowHeight="15" x14ac:dyDescent="0.25"/>
  <cols>
    <col min="1" max="1" width="33.25" customWidth="1"/>
    <col min="2" max="13" width="10.875" bestFit="1" customWidth="1"/>
    <col min="14" max="16" width="12.375" style="1" bestFit="1" customWidth="1"/>
  </cols>
  <sheetData>
    <row r="1" spans="1:22" ht="21.75" customHeight="1" thickBot="1" x14ac:dyDescent="0.3">
      <c r="A1" s="10" t="s">
        <v>111</v>
      </c>
    </row>
    <row r="2" spans="1:22" x14ac:dyDescent="0.25">
      <c r="A2" s="4"/>
      <c r="B2" s="8" t="s">
        <v>63</v>
      </c>
      <c r="C2" s="8" t="s">
        <v>64</v>
      </c>
      <c r="D2" s="8" t="s">
        <v>65</v>
      </c>
      <c r="E2" s="8" t="s">
        <v>66</v>
      </c>
      <c r="F2" s="8" t="s">
        <v>67</v>
      </c>
      <c r="G2" s="8" t="s">
        <v>68</v>
      </c>
      <c r="H2" s="8" t="s">
        <v>69</v>
      </c>
      <c r="I2" s="8" t="s">
        <v>70</v>
      </c>
      <c r="J2" s="8" t="s">
        <v>71</v>
      </c>
      <c r="K2" s="8" t="s">
        <v>72</v>
      </c>
      <c r="L2" s="8" t="s">
        <v>73</v>
      </c>
      <c r="M2" s="9" t="s">
        <v>74</v>
      </c>
      <c r="N2" s="5" t="s">
        <v>233</v>
      </c>
      <c r="O2" s="5" t="s">
        <v>113</v>
      </c>
      <c r="P2" s="5" t="s">
        <v>215</v>
      </c>
    </row>
    <row r="3" spans="1:22" x14ac:dyDescent="0.25">
      <c r="A3" s="18" t="s">
        <v>103</v>
      </c>
      <c r="B3" s="19">
        <v>430000</v>
      </c>
      <c r="C3" s="19">
        <v>430000</v>
      </c>
      <c r="D3" s="19">
        <v>430000</v>
      </c>
      <c r="E3" s="19">
        <v>430000</v>
      </c>
      <c r="F3" s="19">
        <v>430000</v>
      </c>
      <c r="G3" s="19">
        <v>430000</v>
      </c>
      <c r="H3" s="19">
        <v>430000</v>
      </c>
      <c r="I3" s="19">
        <v>430000</v>
      </c>
      <c r="J3" s="19">
        <v>430000</v>
      </c>
      <c r="K3" s="19">
        <v>430000</v>
      </c>
      <c r="L3" s="19">
        <v>430000</v>
      </c>
      <c r="M3" s="19">
        <v>430000</v>
      </c>
      <c r="N3" s="6">
        <f>SUM(B3:M3)</f>
        <v>5160000</v>
      </c>
      <c r="O3" s="98">
        <v>4964789</v>
      </c>
      <c r="P3" s="6">
        <f>N3-O3</f>
        <v>195211</v>
      </c>
    </row>
    <row r="4" spans="1:22" x14ac:dyDescent="0.25">
      <c r="A4" s="18" t="s">
        <v>104</v>
      </c>
      <c r="B4" s="19">
        <v>15000</v>
      </c>
      <c r="C4" s="19">
        <v>15000</v>
      </c>
      <c r="D4" s="19">
        <v>15000</v>
      </c>
      <c r="E4" s="19">
        <v>15000</v>
      </c>
      <c r="F4" s="19">
        <v>25000</v>
      </c>
      <c r="G4" s="19">
        <v>25000</v>
      </c>
      <c r="H4" s="19">
        <v>35000</v>
      </c>
      <c r="I4" s="19">
        <v>35000</v>
      </c>
      <c r="J4" s="19">
        <v>35000</v>
      </c>
      <c r="K4" s="19">
        <v>15000</v>
      </c>
      <c r="L4" s="19">
        <v>15000</v>
      </c>
      <c r="M4" s="19">
        <v>15000</v>
      </c>
      <c r="N4" s="6">
        <f>SUM(B4:M4)</f>
        <v>260000</v>
      </c>
      <c r="O4" s="98">
        <v>262345</v>
      </c>
      <c r="P4" s="6">
        <f t="shared" ref="P4:P8" si="0">N4-O4</f>
        <v>-2345</v>
      </c>
    </row>
    <row r="5" spans="1:22" x14ac:dyDescent="0.25">
      <c r="A5" s="18" t="s">
        <v>105</v>
      </c>
      <c r="B5" s="19">
        <v>0</v>
      </c>
      <c r="C5" s="19">
        <v>0</v>
      </c>
      <c r="D5" s="19">
        <v>0</v>
      </c>
      <c r="E5" s="19">
        <v>0</v>
      </c>
      <c r="F5" s="19">
        <v>14000</v>
      </c>
      <c r="G5" s="19">
        <v>100000</v>
      </c>
      <c r="H5" s="19">
        <v>150000</v>
      </c>
      <c r="I5" s="19">
        <v>150000</v>
      </c>
      <c r="J5" s="19">
        <v>40000</v>
      </c>
      <c r="K5" s="19">
        <v>0</v>
      </c>
      <c r="L5" s="19">
        <v>0</v>
      </c>
      <c r="M5" s="99">
        <v>0</v>
      </c>
      <c r="N5" s="6">
        <f t="shared" ref="N5:N8" si="1">SUM(B5:M5)</f>
        <v>454000</v>
      </c>
      <c r="O5" s="98">
        <v>443078</v>
      </c>
      <c r="P5" s="6">
        <f t="shared" si="0"/>
        <v>10922</v>
      </c>
    </row>
    <row r="6" spans="1:22" x14ac:dyDescent="0.25">
      <c r="A6" s="18" t="s">
        <v>106</v>
      </c>
      <c r="B6" s="19">
        <f>3500+1068+3000+700</f>
        <v>8268</v>
      </c>
      <c r="C6" s="19">
        <f t="shared" ref="C6:M6" si="2">3500+1068+3000+700</f>
        <v>8268</v>
      </c>
      <c r="D6" s="19">
        <f t="shared" si="2"/>
        <v>8268</v>
      </c>
      <c r="E6" s="19">
        <f t="shared" si="2"/>
        <v>8268</v>
      </c>
      <c r="F6" s="19">
        <f t="shared" si="2"/>
        <v>8268</v>
      </c>
      <c r="G6" s="19">
        <f t="shared" si="2"/>
        <v>8268</v>
      </c>
      <c r="H6" s="19">
        <f t="shared" si="2"/>
        <v>8268</v>
      </c>
      <c r="I6" s="19">
        <f t="shared" si="2"/>
        <v>8268</v>
      </c>
      <c r="J6" s="19">
        <f t="shared" si="2"/>
        <v>8268</v>
      </c>
      <c r="K6" s="19">
        <f t="shared" si="2"/>
        <v>8268</v>
      </c>
      <c r="L6" s="19">
        <f t="shared" si="2"/>
        <v>8268</v>
      </c>
      <c r="M6" s="19">
        <f t="shared" si="2"/>
        <v>8268</v>
      </c>
      <c r="N6" s="6">
        <f t="shared" si="1"/>
        <v>99216</v>
      </c>
      <c r="O6" s="98">
        <v>62449</v>
      </c>
      <c r="P6" s="6">
        <f t="shared" si="0"/>
        <v>36767</v>
      </c>
    </row>
    <row r="7" spans="1:22" x14ac:dyDescent="0.25">
      <c r="A7" s="18" t="s">
        <v>107</v>
      </c>
      <c r="B7" s="19">
        <v>0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99">
        <v>0</v>
      </c>
      <c r="N7" s="6">
        <f t="shared" si="1"/>
        <v>0</v>
      </c>
      <c r="O7" s="98">
        <v>0</v>
      </c>
      <c r="P7" s="6">
        <f t="shared" si="0"/>
        <v>0</v>
      </c>
    </row>
    <row r="8" spans="1:22" ht="15.75" thickBot="1" x14ac:dyDescent="0.3">
      <c r="A8" s="47" t="s">
        <v>301</v>
      </c>
      <c r="B8" s="109">
        <v>0</v>
      </c>
      <c r="C8" s="109">
        <v>0</v>
      </c>
      <c r="D8" s="109">
        <v>0</v>
      </c>
      <c r="E8" s="109">
        <v>0</v>
      </c>
      <c r="F8" s="109">
        <v>0</v>
      </c>
      <c r="G8" s="109">
        <v>0</v>
      </c>
      <c r="H8" s="109">
        <v>0</v>
      </c>
      <c r="I8" s="109">
        <v>0</v>
      </c>
      <c r="J8" s="109">
        <v>0</v>
      </c>
      <c r="K8" s="109">
        <v>0</v>
      </c>
      <c r="L8" s="109">
        <v>0</v>
      </c>
      <c r="M8" s="110">
        <v>0</v>
      </c>
      <c r="N8" s="6">
        <f t="shared" si="1"/>
        <v>0</v>
      </c>
      <c r="O8" s="98">
        <f>214+6838+3265</f>
        <v>10317</v>
      </c>
      <c r="P8" s="6">
        <f t="shared" si="0"/>
        <v>-10317</v>
      </c>
    </row>
    <row r="9" spans="1:22" s="1" customFormat="1" ht="15.75" thickBot="1" x14ac:dyDescent="0.3">
      <c r="A9" s="7" t="s">
        <v>0</v>
      </c>
      <c r="B9" s="11">
        <f t="shared" ref="B9:P9" si="3">SUM(B3:B8)</f>
        <v>453268</v>
      </c>
      <c r="C9" s="11">
        <f t="shared" si="3"/>
        <v>453268</v>
      </c>
      <c r="D9" s="11">
        <f t="shared" si="3"/>
        <v>453268</v>
      </c>
      <c r="E9" s="11">
        <f t="shared" si="3"/>
        <v>453268</v>
      </c>
      <c r="F9" s="11">
        <f t="shared" si="3"/>
        <v>477268</v>
      </c>
      <c r="G9" s="11">
        <f t="shared" si="3"/>
        <v>563268</v>
      </c>
      <c r="H9" s="11">
        <f t="shared" si="3"/>
        <v>623268</v>
      </c>
      <c r="I9" s="11">
        <f t="shared" si="3"/>
        <v>623268</v>
      </c>
      <c r="J9" s="11">
        <f t="shared" si="3"/>
        <v>513268</v>
      </c>
      <c r="K9" s="11">
        <f t="shared" si="3"/>
        <v>453268</v>
      </c>
      <c r="L9" s="11">
        <f t="shared" si="3"/>
        <v>453268</v>
      </c>
      <c r="M9" s="11">
        <f t="shared" si="3"/>
        <v>453268</v>
      </c>
      <c r="N9" s="11">
        <f t="shared" si="3"/>
        <v>5973216</v>
      </c>
      <c r="O9" s="11">
        <f t="shared" si="3"/>
        <v>5742978</v>
      </c>
      <c r="P9" s="11">
        <f t="shared" si="3"/>
        <v>230238</v>
      </c>
    </row>
    <row r="12" spans="1:22" ht="21.75" customHeight="1" thickBot="1" x14ac:dyDescent="0.3">
      <c r="A12" s="10" t="s">
        <v>112</v>
      </c>
    </row>
    <row r="13" spans="1:22" x14ac:dyDescent="0.25">
      <c r="A13" s="4"/>
      <c r="B13" s="8" t="s">
        <v>63</v>
      </c>
      <c r="C13" s="8" t="s">
        <v>64</v>
      </c>
      <c r="D13" s="8" t="s">
        <v>65</v>
      </c>
      <c r="E13" s="8" t="s">
        <v>66</v>
      </c>
      <c r="F13" s="8" t="s">
        <v>67</v>
      </c>
      <c r="G13" s="8" t="s">
        <v>68</v>
      </c>
      <c r="H13" s="8" t="s">
        <v>69</v>
      </c>
      <c r="I13" s="8" t="s">
        <v>70</v>
      </c>
      <c r="J13" s="8" t="s">
        <v>71</v>
      </c>
      <c r="K13" s="8" t="s">
        <v>72</v>
      </c>
      <c r="L13" s="8" t="s">
        <v>73</v>
      </c>
      <c r="M13" s="9" t="s">
        <v>74</v>
      </c>
      <c r="N13" s="5" t="str">
        <f>N2</f>
        <v>סה"כ 2018</v>
      </c>
      <c r="O13" s="5" t="str">
        <f>O2</f>
        <v>סה"כ 2017</v>
      </c>
      <c r="P13" s="5" t="s">
        <v>215</v>
      </c>
    </row>
    <row r="14" spans="1:22" x14ac:dyDescent="0.25">
      <c r="A14" s="18" t="s">
        <v>8</v>
      </c>
      <c r="B14" s="19">
        <v>150000</v>
      </c>
      <c r="C14" s="19">
        <v>150000</v>
      </c>
      <c r="D14" s="19">
        <v>155000</v>
      </c>
      <c r="E14" s="19">
        <v>160000</v>
      </c>
      <c r="F14" s="19">
        <v>165000</v>
      </c>
      <c r="G14" s="19">
        <v>240000</v>
      </c>
      <c r="H14" s="19">
        <v>195000</v>
      </c>
      <c r="I14" s="19">
        <v>180000</v>
      </c>
      <c r="J14" s="19">
        <v>170000</v>
      </c>
      <c r="K14" s="19">
        <v>150000</v>
      </c>
      <c r="L14" s="19">
        <v>150000</v>
      </c>
      <c r="M14" s="99">
        <v>150000</v>
      </c>
      <c r="N14" s="6">
        <f>SUM(B14:M14)</f>
        <v>2015000</v>
      </c>
      <c r="O14" s="98">
        <v>1930309</v>
      </c>
      <c r="P14" s="6">
        <f t="shared" ref="P14:P35" si="4">N14-O14</f>
        <v>84691</v>
      </c>
      <c r="Q14" s="100" t="s">
        <v>244</v>
      </c>
      <c r="R14" s="100"/>
      <c r="S14" s="100"/>
      <c r="T14" s="100"/>
      <c r="U14" s="106"/>
      <c r="V14" s="46">
        <f>N14/O14-1</f>
        <v>4.3874322712063263E-2</v>
      </c>
    </row>
    <row r="15" spans="1:22" x14ac:dyDescent="0.25">
      <c r="A15" s="18" t="s">
        <v>9</v>
      </c>
      <c r="B15" s="19">
        <v>42000</v>
      </c>
      <c r="C15" s="19">
        <v>42000</v>
      </c>
      <c r="D15" s="19">
        <v>42000</v>
      </c>
      <c r="E15" s="19">
        <v>42000</v>
      </c>
      <c r="F15" s="19">
        <v>42000</v>
      </c>
      <c r="G15" s="19">
        <v>42000</v>
      </c>
      <c r="H15" s="19">
        <v>42000</v>
      </c>
      <c r="I15" s="19">
        <v>42000</v>
      </c>
      <c r="J15" s="19">
        <v>42000</v>
      </c>
      <c r="K15" s="19">
        <v>42000</v>
      </c>
      <c r="L15" s="19">
        <v>42000</v>
      </c>
      <c r="M15" s="19">
        <v>42000</v>
      </c>
      <c r="N15" s="6">
        <f t="shared" ref="N15:N35" si="5">SUM(B15:M15)</f>
        <v>504000</v>
      </c>
      <c r="O15" s="98">
        <v>599028</v>
      </c>
      <c r="P15" s="6">
        <f t="shared" si="4"/>
        <v>-95028</v>
      </c>
      <c r="U15" s="46"/>
      <c r="V15" s="46">
        <f>N15/O15-1</f>
        <v>-0.1586369919269216</v>
      </c>
    </row>
    <row r="16" spans="1:22" x14ac:dyDescent="0.25">
      <c r="A16" s="18" t="s">
        <v>10</v>
      </c>
      <c r="B16" s="19">
        <f>20000*1.06</f>
        <v>21200</v>
      </c>
      <c r="C16" s="19">
        <f t="shared" ref="C16:F16" si="6">20000*1.06</f>
        <v>21200</v>
      </c>
      <c r="D16" s="19">
        <f t="shared" si="6"/>
        <v>21200</v>
      </c>
      <c r="E16" s="19">
        <f t="shared" si="6"/>
        <v>21200</v>
      </c>
      <c r="F16" s="19">
        <f t="shared" si="6"/>
        <v>21200</v>
      </c>
      <c r="G16" s="19">
        <f>(20000*1.06)*1.5</f>
        <v>31800</v>
      </c>
      <c r="H16" s="19">
        <f>(20000*1.06)*2</f>
        <v>42400</v>
      </c>
      <c r="I16" s="19">
        <f>(20000*1.06)*2</f>
        <v>42400</v>
      </c>
      <c r="J16" s="19">
        <f t="shared" ref="J16:M16" si="7">20000*1.06</f>
        <v>21200</v>
      </c>
      <c r="K16" s="19">
        <f t="shared" si="7"/>
        <v>21200</v>
      </c>
      <c r="L16" s="19">
        <f t="shared" si="7"/>
        <v>21200</v>
      </c>
      <c r="M16" s="19">
        <f t="shared" si="7"/>
        <v>21200</v>
      </c>
      <c r="N16" s="6">
        <f t="shared" si="5"/>
        <v>307400</v>
      </c>
      <c r="O16" s="98">
        <v>288646</v>
      </c>
      <c r="P16" s="6">
        <f t="shared" si="4"/>
        <v>18754</v>
      </c>
      <c r="Q16" s="100" t="s">
        <v>199</v>
      </c>
      <c r="R16" s="100"/>
      <c r="S16" s="100"/>
      <c r="V16" s="46">
        <f>N16/O16-1</f>
        <v>6.4972319034388049E-2</v>
      </c>
    </row>
    <row r="17" spans="1:24" x14ac:dyDescent="0.25">
      <c r="A17" s="18" t="s">
        <v>11</v>
      </c>
      <c r="B17" s="19">
        <f>25000*1.06</f>
        <v>26500</v>
      </c>
      <c r="C17" s="19">
        <f t="shared" ref="C17:E17" si="8">25000*1.06</f>
        <v>26500</v>
      </c>
      <c r="D17" s="19">
        <f t="shared" si="8"/>
        <v>26500</v>
      </c>
      <c r="E17" s="19">
        <f t="shared" si="8"/>
        <v>26500</v>
      </c>
      <c r="F17" s="19">
        <f>35000*1.06</f>
        <v>37100</v>
      </c>
      <c r="G17" s="19">
        <f>35000*1.06</f>
        <v>37100</v>
      </c>
      <c r="H17" s="19">
        <f>50000*1.06</f>
        <v>53000</v>
      </c>
      <c r="I17" s="19">
        <f>50000*1.06</f>
        <v>53000</v>
      </c>
      <c r="J17" s="19">
        <f t="shared" ref="J17" si="9">25000*1.06</f>
        <v>26500</v>
      </c>
      <c r="K17" s="19">
        <f>22000*1.06</f>
        <v>23320</v>
      </c>
      <c r="L17" s="19">
        <f t="shared" ref="L17:M17" si="10">22000*1.06</f>
        <v>23320</v>
      </c>
      <c r="M17" s="19">
        <f t="shared" si="10"/>
        <v>23320</v>
      </c>
      <c r="N17" s="6">
        <f t="shared" si="5"/>
        <v>382660</v>
      </c>
      <c r="O17" s="98">
        <v>396779</v>
      </c>
      <c r="P17" s="6">
        <f t="shared" si="4"/>
        <v>-14119</v>
      </c>
      <c r="Q17" s="100" t="s">
        <v>199</v>
      </c>
      <c r="R17" s="100"/>
      <c r="S17" s="100"/>
      <c r="V17" s="46">
        <f>N17/O17-1</f>
        <v>-3.5584040486013602E-2</v>
      </c>
    </row>
    <row r="18" spans="1:24" x14ac:dyDescent="0.25">
      <c r="A18" s="18" t="s">
        <v>18</v>
      </c>
      <c r="B18" s="19">
        <v>30000</v>
      </c>
      <c r="C18" s="19">
        <v>30000</v>
      </c>
      <c r="D18" s="19">
        <v>30000</v>
      </c>
      <c r="E18" s="19">
        <v>30000</v>
      </c>
      <c r="F18" s="19">
        <v>30000</v>
      </c>
      <c r="G18" s="19">
        <v>30000</v>
      </c>
      <c r="H18" s="19">
        <v>30000</v>
      </c>
      <c r="I18" s="19">
        <v>30000</v>
      </c>
      <c r="J18" s="19">
        <v>30000</v>
      </c>
      <c r="K18" s="19">
        <v>30000</v>
      </c>
      <c r="L18" s="19">
        <v>30000</v>
      </c>
      <c r="M18" s="19">
        <v>30000</v>
      </c>
      <c r="N18" s="6">
        <f>SUM(B18:M18)</f>
        <v>360000</v>
      </c>
      <c r="O18" s="98">
        <f>419590-(16062+5704+5704)+8300</f>
        <v>400420</v>
      </c>
      <c r="P18" s="6">
        <f t="shared" si="4"/>
        <v>-40420</v>
      </c>
      <c r="V18" s="46">
        <f t="shared" ref="V18:V21" si="11">N18/O18-1</f>
        <v>-0.1009440087907697</v>
      </c>
    </row>
    <row r="19" spans="1:24" x14ac:dyDescent="0.25">
      <c r="A19" s="18" t="s">
        <v>12</v>
      </c>
      <c r="B19" s="19">
        <v>48000</v>
      </c>
      <c r="C19" s="19">
        <v>48000</v>
      </c>
      <c r="D19" s="19">
        <v>36000</v>
      </c>
      <c r="E19" s="19">
        <v>33000</v>
      </c>
      <c r="F19" s="19">
        <v>36000</v>
      </c>
      <c r="G19" s="19">
        <v>37000</v>
      </c>
      <c r="H19" s="19">
        <v>53000</v>
      </c>
      <c r="I19" s="19">
        <v>53000</v>
      </c>
      <c r="J19" s="19">
        <v>40000</v>
      </c>
      <c r="K19" s="19">
        <v>33000</v>
      </c>
      <c r="L19" s="19">
        <v>35000</v>
      </c>
      <c r="M19" s="19">
        <v>35000</v>
      </c>
      <c r="N19" s="6">
        <f t="shared" si="5"/>
        <v>487000</v>
      </c>
      <c r="O19" s="98">
        <v>499205</v>
      </c>
      <c r="P19" s="6">
        <f t="shared" si="4"/>
        <v>-12205</v>
      </c>
      <c r="Q19" s="23"/>
      <c r="R19" s="23"/>
      <c r="S19" s="23"/>
      <c r="T19" s="23"/>
      <c r="U19" s="23"/>
      <c r="V19" s="107">
        <f>N19/O19-1</f>
        <v>-2.4448873709197572E-2</v>
      </c>
      <c r="W19" s="23"/>
      <c r="X19" s="23"/>
    </row>
    <row r="20" spans="1:24" x14ac:dyDescent="0.25">
      <c r="A20" s="18" t="s">
        <v>16</v>
      </c>
      <c r="B20" s="19">
        <v>11000</v>
      </c>
      <c r="C20" s="19">
        <v>11000</v>
      </c>
      <c r="D20" s="19">
        <v>5000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5000</v>
      </c>
      <c r="L20" s="19">
        <v>11000</v>
      </c>
      <c r="M20" s="99">
        <v>11000</v>
      </c>
      <c r="N20" s="6">
        <f>SUM(B20:M20)</f>
        <v>54000</v>
      </c>
      <c r="O20" s="98">
        <f>22360+8177</f>
        <v>30537</v>
      </c>
      <c r="P20" s="6">
        <f t="shared" si="4"/>
        <v>23463</v>
      </c>
      <c r="Q20" s="23"/>
      <c r="R20" s="23"/>
      <c r="S20" s="23"/>
      <c r="T20" s="23"/>
      <c r="U20" s="23"/>
      <c r="V20" s="107">
        <f t="shared" si="11"/>
        <v>0.76834659593280286</v>
      </c>
      <c r="W20" s="23"/>
      <c r="X20" s="23"/>
    </row>
    <row r="21" spans="1:24" x14ac:dyDescent="0.25">
      <c r="A21" s="18" t="s">
        <v>13</v>
      </c>
      <c r="B21" s="19">
        <v>14000</v>
      </c>
      <c r="C21" s="19">
        <v>14000</v>
      </c>
      <c r="D21" s="19">
        <v>14000</v>
      </c>
      <c r="E21" s="19">
        <v>14000</v>
      </c>
      <c r="F21" s="19">
        <v>44000</v>
      </c>
      <c r="G21" s="19">
        <v>44000</v>
      </c>
      <c r="H21" s="19">
        <v>60000</v>
      </c>
      <c r="I21" s="19">
        <v>60000</v>
      </c>
      <c r="J21" s="19">
        <v>35000</v>
      </c>
      <c r="K21" s="19">
        <v>35000</v>
      </c>
      <c r="L21" s="19">
        <v>20000</v>
      </c>
      <c r="M21" s="19">
        <v>20000</v>
      </c>
      <c r="N21" s="6">
        <f t="shared" si="5"/>
        <v>374000</v>
      </c>
      <c r="O21" s="98">
        <f>299402+32000</f>
        <v>331402</v>
      </c>
      <c r="P21" s="6">
        <f t="shared" si="4"/>
        <v>42598</v>
      </c>
      <c r="V21" s="46">
        <f t="shared" si="11"/>
        <v>0.12853875353799915</v>
      </c>
    </row>
    <row r="22" spans="1:24" x14ac:dyDescent="0.25">
      <c r="A22" s="18" t="s">
        <v>14</v>
      </c>
      <c r="B22" s="19">
        <f>ROUND((19600+18200+290)/2*1.022,-2)</f>
        <v>19500</v>
      </c>
      <c r="C22" s="19">
        <f t="shared" ref="C22:M22" si="12">ROUND((19600+18200+290)/2*1.022,-2)</f>
        <v>19500</v>
      </c>
      <c r="D22" s="19">
        <f t="shared" si="12"/>
        <v>19500</v>
      </c>
      <c r="E22" s="19">
        <f t="shared" si="12"/>
        <v>19500</v>
      </c>
      <c r="F22" s="19">
        <f t="shared" si="12"/>
        <v>19500</v>
      </c>
      <c r="G22" s="19">
        <f t="shared" si="12"/>
        <v>19500</v>
      </c>
      <c r="H22" s="19">
        <f t="shared" si="12"/>
        <v>19500</v>
      </c>
      <c r="I22" s="19">
        <f t="shared" si="12"/>
        <v>19500</v>
      </c>
      <c r="J22" s="19">
        <f t="shared" si="12"/>
        <v>19500</v>
      </c>
      <c r="K22" s="19">
        <f t="shared" si="12"/>
        <v>19500</v>
      </c>
      <c r="L22" s="19">
        <f t="shared" si="12"/>
        <v>19500</v>
      </c>
      <c r="M22" s="19">
        <f t="shared" si="12"/>
        <v>19500</v>
      </c>
      <c r="N22" s="6">
        <f t="shared" si="5"/>
        <v>234000</v>
      </c>
      <c r="O22" s="98">
        <f>228291</f>
        <v>228291</v>
      </c>
      <c r="P22" s="6">
        <f t="shared" si="4"/>
        <v>5709</v>
      </c>
      <c r="Q22" s="100" t="s">
        <v>245</v>
      </c>
      <c r="R22" s="100"/>
      <c r="S22" s="100"/>
      <c r="V22" s="46">
        <f>N22/O22-1</f>
        <v>2.5007556145445919E-2</v>
      </c>
    </row>
    <row r="23" spans="1:24" x14ac:dyDescent="0.25">
      <c r="A23" s="18" t="s">
        <v>15</v>
      </c>
      <c r="B23" s="19">
        <v>2500</v>
      </c>
      <c r="C23" s="19">
        <v>2500</v>
      </c>
      <c r="D23" s="19">
        <v>2500</v>
      </c>
      <c r="E23" s="19">
        <v>2500</v>
      </c>
      <c r="F23" s="19">
        <v>2500</v>
      </c>
      <c r="G23" s="19">
        <v>4000</v>
      </c>
      <c r="H23" s="19">
        <v>4000</v>
      </c>
      <c r="I23" s="19">
        <v>4000</v>
      </c>
      <c r="J23" s="19">
        <v>2500</v>
      </c>
      <c r="K23" s="19">
        <v>2500</v>
      </c>
      <c r="L23" s="19">
        <v>2500</v>
      </c>
      <c r="M23" s="19">
        <v>2500</v>
      </c>
      <c r="N23" s="6">
        <f t="shared" si="5"/>
        <v>34500</v>
      </c>
      <c r="O23" s="98">
        <v>33765</v>
      </c>
      <c r="P23" s="6">
        <f t="shared" si="4"/>
        <v>735</v>
      </c>
    </row>
    <row r="24" spans="1:24" x14ac:dyDescent="0.25">
      <c r="A24" s="18" t="s">
        <v>108</v>
      </c>
      <c r="B24" s="19">
        <v>2000</v>
      </c>
      <c r="C24" s="19">
        <v>2000</v>
      </c>
      <c r="D24" s="19">
        <v>2000</v>
      </c>
      <c r="E24" s="19">
        <v>2000</v>
      </c>
      <c r="F24" s="19">
        <v>2000</v>
      </c>
      <c r="G24" s="19">
        <v>2000</v>
      </c>
      <c r="H24" s="19">
        <v>2000</v>
      </c>
      <c r="I24" s="19">
        <v>2000</v>
      </c>
      <c r="J24" s="19">
        <v>2000</v>
      </c>
      <c r="K24" s="19">
        <v>2000</v>
      </c>
      <c r="L24" s="19">
        <v>2000</v>
      </c>
      <c r="M24" s="19">
        <v>2000</v>
      </c>
      <c r="N24" s="6">
        <f t="shared" si="5"/>
        <v>24000</v>
      </c>
      <c r="O24" s="98">
        <f>6759+13601</f>
        <v>20360</v>
      </c>
      <c r="P24" s="6">
        <f t="shared" si="4"/>
        <v>3640</v>
      </c>
    </row>
    <row r="25" spans="1:24" x14ac:dyDescent="0.25">
      <c r="A25" s="18" t="s">
        <v>202</v>
      </c>
      <c r="B25" s="19">
        <v>1500</v>
      </c>
      <c r="C25" s="19">
        <v>1500</v>
      </c>
      <c r="D25" s="19">
        <v>1500</v>
      </c>
      <c r="E25" s="19">
        <v>1500</v>
      </c>
      <c r="F25" s="19">
        <v>1500</v>
      </c>
      <c r="G25" s="19">
        <v>1500</v>
      </c>
      <c r="H25" s="19">
        <v>1500</v>
      </c>
      <c r="I25" s="19">
        <v>1500</v>
      </c>
      <c r="J25" s="19">
        <v>1500</v>
      </c>
      <c r="K25" s="19">
        <v>1500</v>
      </c>
      <c r="L25" s="19">
        <v>1500</v>
      </c>
      <c r="M25" s="19">
        <v>1500</v>
      </c>
      <c r="N25" s="6">
        <f t="shared" si="5"/>
        <v>18000</v>
      </c>
      <c r="O25" s="98">
        <f>3772+6063</f>
        <v>9835</v>
      </c>
      <c r="P25" s="6">
        <f t="shared" si="4"/>
        <v>8165</v>
      </c>
    </row>
    <row r="26" spans="1:24" x14ac:dyDescent="0.25">
      <c r="A26" s="18" t="s">
        <v>201</v>
      </c>
      <c r="B26" s="19">
        <v>3000</v>
      </c>
      <c r="C26" s="19">
        <v>3000</v>
      </c>
      <c r="D26" s="19">
        <v>3000</v>
      </c>
      <c r="E26" s="19">
        <v>3000</v>
      </c>
      <c r="F26" s="19">
        <v>3000</v>
      </c>
      <c r="G26" s="19">
        <v>3000</v>
      </c>
      <c r="H26" s="19">
        <v>3000</v>
      </c>
      <c r="I26" s="19">
        <v>3000</v>
      </c>
      <c r="J26" s="19">
        <v>3000</v>
      </c>
      <c r="K26" s="19">
        <v>3000</v>
      </c>
      <c r="L26" s="19">
        <v>3000</v>
      </c>
      <c r="M26" s="19">
        <v>3000</v>
      </c>
      <c r="N26" s="6">
        <f t="shared" si="5"/>
        <v>36000</v>
      </c>
      <c r="O26" s="98">
        <f>5619+(16062+5704+5704)</f>
        <v>33089</v>
      </c>
      <c r="P26" s="6">
        <f t="shared" si="4"/>
        <v>2911</v>
      </c>
    </row>
    <row r="27" spans="1:24" x14ac:dyDescent="0.25">
      <c r="A27" s="18" t="s">
        <v>22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5000</v>
      </c>
      <c r="H27" s="19">
        <v>20000</v>
      </c>
      <c r="I27" s="19">
        <v>20000</v>
      </c>
      <c r="J27" s="19">
        <v>0</v>
      </c>
      <c r="K27" s="19">
        <v>0</v>
      </c>
      <c r="L27" s="19">
        <v>0</v>
      </c>
      <c r="M27" s="99">
        <v>0</v>
      </c>
      <c r="N27" s="6">
        <f t="shared" si="5"/>
        <v>45000</v>
      </c>
      <c r="O27" s="98">
        <v>39305</v>
      </c>
      <c r="P27" s="6">
        <f t="shared" si="4"/>
        <v>5695</v>
      </c>
    </row>
    <row r="28" spans="1:24" x14ac:dyDescent="0.25">
      <c r="A28" s="18" t="s">
        <v>19</v>
      </c>
      <c r="B28" s="19">
        <v>1400</v>
      </c>
      <c r="C28" s="19">
        <v>1400</v>
      </c>
      <c r="D28" s="19">
        <v>1400</v>
      </c>
      <c r="E28" s="19">
        <v>1400</v>
      </c>
      <c r="F28" s="19">
        <v>1400</v>
      </c>
      <c r="G28" s="19">
        <v>1400</v>
      </c>
      <c r="H28" s="19">
        <v>1400</v>
      </c>
      <c r="I28" s="19">
        <v>1400</v>
      </c>
      <c r="J28" s="19">
        <v>1400</v>
      </c>
      <c r="K28" s="19">
        <v>1400</v>
      </c>
      <c r="L28" s="19">
        <v>1400</v>
      </c>
      <c r="M28" s="19">
        <v>1400</v>
      </c>
      <c r="N28" s="6">
        <f t="shared" si="5"/>
        <v>16800</v>
      </c>
      <c r="O28" s="98">
        <v>27848</v>
      </c>
      <c r="P28" s="6">
        <f t="shared" si="4"/>
        <v>-11048</v>
      </c>
    </row>
    <row r="29" spans="1:24" x14ac:dyDescent="0.25">
      <c r="A29" s="18" t="s">
        <v>20</v>
      </c>
      <c r="B29" s="19">
        <v>5000</v>
      </c>
      <c r="C29" s="19">
        <v>5000</v>
      </c>
      <c r="D29" s="19">
        <v>5000</v>
      </c>
      <c r="E29" s="19">
        <v>5000</v>
      </c>
      <c r="F29" s="19">
        <v>5000</v>
      </c>
      <c r="G29" s="19">
        <v>5000</v>
      </c>
      <c r="H29" s="19">
        <v>5000</v>
      </c>
      <c r="I29" s="19">
        <v>5000</v>
      </c>
      <c r="J29" s="19">
        <v>5000</v>
      </c>
      <c r="K29" s="19">
        <v>5000</v>
      </c>
      <c r="L29" s="19">
        <v>5000</v>
      </c>
      <c r="M29" s="99">
        <v>5000</v>
      </c>
      <c r="N29" s="6">
        <f t="shared" si="5"/>
        <v>60000</v>
      </c>
      <c r="O29" s="98">
        <f>55511+5000+5000+5000+5000+5000</f>
        <v>80511</v>
      </c>
      <c r="P29" s="6">
        <f t="shared" si="4"/>
        <v>-20511</v>
      </c>
    </row>
    <row r="30" spans="1:24" x14ac:dyDescent="0.25">
      <c r="A30" s="18" t="s">
        <v>21</v>
      </c>
      <c r="B30" s="19">
        <v>4500</v>
      </c>
      <c r="C30" s="19">
        <v>4500</v>
      </c>
      <c r="D30" s="19">
        <v>4500</v>
      </c>
      <c r="E30" s="19">
        <v>4500</v>
      </c>
      <c r="F30" s="19">
        <v>4500</v>
      </c>
      <c r="G30" s="19">
        <v>4500</v>
      </c>
      <c r="H30" s="19">
        <v>4500</v>
      </c>
      <c r="I30" s="19">
        <v>4500</v>
      </c>
      <c r="J30" s="19">
        <v>4500</v>
      </c>
      <c r="K30" s="19">
        <v>4500</v>
      </c>
      <c r="L30" s="19">
        <v>4500</v>
      </c>
      <c r="M30" s="19">
        <v>4500</v>
      </c>
      <c r="N30" s="6">
        <f t="shared" si="5"/>
        <v>54000</v>
      </c>
      <c r="O30" s="98">
        <v>95683</v>
      </c>
      <c r="P30" s="6">
        <f t="shared" si="4"/>
        <v>-41683</v>
      </c>
      <c r="Q30" s="100" t="s">
        <v>247</v>
      </c>
      <c r="R30" s="100"/>
      <c r="S30" s="100"/>
      <c r="T30" s="100"/>
      <c r="U30" s="23"/>
      <c r="V30" s="23"/>
    </row>
    <row r="31" spans="1:24" x14ac:dyDescent="0.25">
      <c r="A31" s="18" t="s">
        <v>118</v>
      </c>
      <c r="B31" s="19">
        <v>0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3000</v>
      </c>
      <c r="I31" s="19">
        <v>3000</v>
      </c>
      <c r="J31" s="19">
        <v>0</v>
      </c>
      <c r="K31" s="19">
        <v>0</v>
      </c>
      <c r="L31" s="19">
        <v>0</v>
      </c>
      <c r="M31" s="99">
        <v>0</v>
      </c>
      <c r="N31" s="6">
        <f t="shared" si="5"/>
        <v>6000</v>
      </c>
      <c r="O31" s="98">
        <v>5794</v>
      </c>
      <c r="P31" s="6">
        <f t="shared" si="4"/>
        <v>206</v>
      </c>
      <c r="Q31" s="23"/>
      <c r="R31" s="23"/>
      <c r="S31" s="23"/>
      <c r="T31" s="23"/>
      <c r="U31" s="23"/>
      <c r="V31" s="23"/>
    </row>
    <row r="32" spans="1:24" x14ac:dyDescent="0.25">
      <c r="A32" s="18" t="s">
        <v>246</v>
      </c>
      <c r="B32" s="19">
        <v>1000</v>
      </c>
      <c r="C32" s="19">
        <v>1000</v>
      </c>
      <c r="D32" s="19">
        <v>1000</v>
      </c>
      <c r="E32" s="19">
        <v>1000</v>
      </c>
      <c r="F32" s="19">
        <v>1000</v>
      </c>
      <c r="G32" s="19">
        <v>5000</v>
      </c>
      <c r="H32" s="19">
        <v>5000</v>
      </c>
      <c r="I32" s="19">
        <v>5000</v>
      </c>
      <c r="J32" s="19">
        <v>1000</v>
      </c>
      <c r="K32" s="19">
        <v>1000</v>
      </c>
      <c r="L32" s="19">
        <v>1000</v>
      </c>
      <c r="M32" s="19">
        <v>1000</v>
      </c>
      <c r="N32" s="6">
        <f t="shared" si="5"/>
        <v>24000</v>
      </c>
      <c r="O32" s="98">
        <f>17474+15000</f>
        <v>32474</v>
      </c>
      <c r="P32" s="6">
        <f t="shared" si="4"/>
        <v>-8474</v>
      </c>
    </row>
    <row r="33" spans="1:16" x14ac:dyDescent="0.25">
      <c r="A33" s="18" t="s">
        <v>200</v>
      </c>
      <c r="B33" s="19">
        <f>ROUND((12000*3.5)/12,-2)</f>
        <v>3500</v>
      </c>
      <c r="C33" s="19">
        <f t="shared" ref="C33:M33" si="13">ROUND((12000*3.5)/12,-2)</f>
        <v>3500</v>
      </c>
      <c r="D33" s="19">
        <f t="shared" si="13"/>
        <v>3500</v>
      </c>
      <c r="E33" s="19">
        <f t="shared" si="13"/>
        <v>3500</v>
      </c>
      <c r="F33" s="19">
        <f t="shared" si="13"/>
        <v>3500</v>
      </c>
      <c r="G33" s="19">
        <f t="shared" si="13"/>
        <v>3500</v>
      </c>
      <c r="H33" s="19">
        <f t="shared" si="13"/>
        <v>3500</v>
      </c>
      <c r="I33" s="19">
        <f t="shared" si="13"/>
        <v>3500</v>
      </c>
      <c r="J33" s="19">
        <f t="shared" si="13"/>
        <v>3500</v>
      </c>
      <c r="K33" s="19">
        <f t="shared" si="13"/>
        <v>3500</v>
      </c>
      <c r="L33" s="19">
        <f t="shared" si="13"/>
        <v>3500</v>
      </c>
      <c r="M33" s="19">
        <f t="shared" si="13"/>
        <v>3500</v>
      </c>
      <c r="N33" s="6">
        <f t="shared" si="5"/>
        <v>42000</v>
      </c>
      <c r="O33" s="98">
        <f>ROUND((12000*3.5),-2)</f>
        <v>42000</v>
      </c>
      <c r="P33" s="6">
        <f t="shared" si="4"/>
        <v>0</v>
      </c>
    </row>
    <row r="34" spans="1:16" x14ac:dyDescent="0.25">
      <c r="A34" s="20" t="s">
        <v>102</v>
      </c>
      <c r="B34" s="19">
        <f>ROUND((80000)/12,-2)</f>
        <v>6700</v>
      </c>
      <c r="C34" s="19">
        <f t="shared" ref="C34:M34" si="14">ROUND((80000)/12,-2)</f>
        <v>6700</v>
      </c>
      <c r="D34" s="19">
        <f t="shared" si="14"/>
        <v>6700</v>
      </c>
      <c r="E34" s="19">
        <f t="shared" si="14"/>
        <v>6700</v>
      </c>
      <c r="F34" s="19">
        <f t="shared" si="14"/>
        <v>6700</v>
      </c>
      <c r="G34" s="19">
        <f t="shared" si="14"/>
        <v>6700</v>
      </c>
      <c r="H34" s="19">
        <f t="shared" si="14"/>
        <v>6700</v>
      </c>
      <c r="I34" s="19">
        <f t="shared" si="14"/>
        <v>6700</v>
      </c>
      <c r="J34" s="19">
        <f t="shared" si="14"/>
        <v>6700</v>
      </c>
      <c r="K34" s="19">
        <f t="shared" si="14"/>
        <v>6700</v>
      </c>
      <c r="L34" s="19">
        <f t="shared" si="14"/>
        <v>6700</v>
      </c>
      <c r="M34" s="19">
        <f t="shared" si="14"/>
        <v>6700</v>
      </c>
      <c r="N34" s="6">
        <f t="shared" si="5"/>
        <v>80400</v>
      </c>
      <c r="O34" s="98">
        <v>0</v>
      </c>
      <c r="P34" s="6">
        <f t="shared" si="4"/>
        <v>80400</v>
      </c>
    </row>
    <row r="35" spans="1:16" ht="15.75" thickBot="1" x14ac:dyDescent="0.3">
      <c r="A35" s="20"/>
      <c r="B35" s="114">
        <v>0</v>
      </c>
      <c r="C35" s="114">
        <v>0</v>
      </c>
      <c r="D35" s="114">
        <v>0</v>
      </c>
      <c r="E35" s="114">
        <v>0</v>
      </c>
      <c r="F35" s="114">
        <v>0</v>
      </c>
      <c r="G35" s="114">
        <v>0</v>
      </c>
      <c r="H35" s="114">
        <v>0</v>
      </c>
      <c r="I35" s="114">
        <v>0</v>
      </c>
      <c r="J35" s="114">
        <v>0</v>
      </c>
      <c r="K35" s="114">
        <v>0</v>
      </c>
      <c r="L35" s="114">
        <v>0</v>
      </c>
      <c r="M35" s="114">
        <v>0</v>
      </c>
      <c r="N35" s="6">
        <f t="shared" si="5"/>
        <v>0</v>
      </c>
      <c r="O35" s="98">
        <v>0</v>
      </c>
      <c r="P35" s="6">
        <f t="shared" si="4"/>
        <v>0</v>
      </c>
    </row>
    <row r="36" spans="1:16" s="1" customFormat="1" ht="15.75" thickBot="1" x14ac:dyDescent="0.3">
      <c r="A36" s="7" t="s">
        <v>1</v>
      </c>
      <c r="B36" s="11">
        <f>SUM(B14:B35)</f>
        <v>393300</v>
      </c>
      <c r="C36" s="11">
        <f t="shared" ref="C36:M36" si="15">SUM(C14:C35)</f>
        <v>393300</v>
      </c>
      <c r="D36" s="11">
        <f t="shared" si="15"/>
        <v>380300</v>
      </c>
      <c r="E36" s="11">
        <f t="shared" si="15"/>
        <v>377300</v>
      </c>
      <c r="F36" s="11">
        <f t="shared" si="15"/>
        <v>425900</v>
      </c>
      <c r="G36" s="11">
        <f t="shared" si="15"/>
        <v>523000</v>
      </c>
      <c r="H36" s="11">
        <f t="shared" si="15"/>
        <v>554500</v>
      </c>
      <c r="I36" s="11">
        <f t="shared" si="15"/>
        <v>539500</v>
      </c>
      <c r="J36" s="11">
        <f t="shared" si="15"/>
        <v>415300</v>
      </c>
      <c r="K36" s="11">
        <f t="shared" si="15"/>
        <v>390120</v>
      </c>
      <c r="L36" s="11">
        <f t="shared" si="15"/>
        <v>383120</v>
      </c>
      <c r="M36" s="12">
        <f t="shared" si="15"/>
        <v>383120</v>
      </c>
      <c r="N36" s="13">
        <f>SUM(N14:N35)</f>
        <v>5158760</v>
      </c>
      <c r="O36" s="13">
        <f>SUM(O14:O35)</f>
        <v>5125281</v>
      </c>
      <c r="P36" s="13">
        <f>SUM(P14:P35)</f>
        <v>33479</v>
      </c>
    </row>
    <row r="37" spans="1:16" ht="15.75" thickBot="1" x14ac:dyDescent="0.3"/>
    <row r="38" spans="1:16" s="1" customFormat="1" ht="15.75" thickBot="1" x14ac:dyDescent="0.3">
      <c r="A38" s="24" t="s">
        <v>114</v>
      </c>
      <c r="B38" s="25">
        <f>B9-B36</f>
        <v>59968</v>
      </c>
      <c r="C38" s="25">
        <f t="shared" ref="C38:P38" si="16">C9-C36</f>
        <v>59968</v>
      </c>
      <c r="D38" s="25">
        <f t="shared" si="16"/>
        <v>72968</v>
      </c>
      <c r="E38" s="25">
        <f t="shared" si="16"/>
        <v>75968</v>
      </c>
      <c r="F38" s="25">
        <f t="shared" si="16"/>
        <v>51368</v>
      </c>
      <c r="G38" s="25">
        <f t="shared" si="16"/>
        <v>40268</v>
      </c>
      <c r="H38" s="25">
        <f t="shared" si="16"/>
        <v>68768</v>
      </c>
      <c r="I38" s="25">
        <f t="shared" si="16"/>
        <v>83768</v>
      </c>
      <c r="J38" s="25">
        <f t="shared" si="16"/>
        <v>97968</v>
      </c>
      <c r="K38" s="25">
        <f t="shared" si="16"/>
        <v>63148</v>
      </c>
      <c r="L38" s="25">
        <f t="shared" si="16"/>
        <v>70148</v>
      </c>
      <c r="M38" s="26">
        <f t="shared" si="16"/>
        <v>70148</v>
      </c>
      <c r="N38" s="27">
        <f t="shared" si="16"/>
        <v>814456</v>
      </c>
      <c r="O38" s="27">
        <f t="shared" si="16"/>
        <v>617697</v>
      </c>
      <c r="P38" s="27">
        <f t="shared" si="16"/>
        <v>196759</v>
      </c>
    </row>
    <row r="40" spans="1:16" x14ac:dyDescent="0.25">
      <c r="N40" s="14"/>
      <c r="O40" s="14"/>
      <c r="P40" s="14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16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36"/>
  <sheetViews>
    <sheetView showGridLines="0" rightToLeft="1" zoomScaleNormal="100" workbookViewId="0">
      <selection activeCell="A8" sqref="A8"/>
    </sheetView>
  </sheetViews>
  <sheetFormatPr defaultRowHeight="15" x14ac:dyDescent="0.25"/>
  <cols>
    <col min="1" max="1" width="33.25" customWidth="1"/>
    <col min="2" max="13" width="10.875" bestFit="1" customWidth="1"/>
    <col min="14" max="16" width="12.375" style="1" bestFit="1" customWidth="1"/>
    <col min="22" max="22" width="9.875" bestFit="1" customWidth="1"/>
  </cols>
  <sheetData>
    <row r="1" spans="1:23" ht="21.75" customHeight="1" thickBot="1" x14ac:dyDescent="0.3">
      <c r="A1" s="10" t="s">
        <v>109</v>
      </c>
    </row>
    <row r="2" spans="1:23" x14ac:dyDescent="0.25">
      <c r="A2" s="4"/>
      <c r="B2" s="8" t="s">
        <v>63</v>
      </c>
      <c r="C2" s="8" t="s">
        <v>64</v>
      </c>
      <c r="D2" s="8" t="s">
        <v>65</v>
      </c>
      <c r="E2" s="8" t="s">
        <v>66</v>
      </c>
      <c r="F2" s="8" t="s">
        <v>67</v>
      </c>
      <c r="G2" s="8" t="s">
        <v>68</v>
      </c>
      <c r="H2" s="8" t="s">
        <v>69</v>
      </c>
      <c r="I2" s="8" t="s">
        <v>70</v>
      </c>
      <c r="J2" s="8" t="s">
        <v>71</v>
      </c>
      <c r="K2" s="8" t="s">
        <v>72</v>
      </c>
      <c r="L2" s="8" t="s">
        <v>73</v>
      </c>
      <c r="M2" s="9" t="s">
        <v>74</v>
      </c>
      <c r="N2" s="5" t="s">
        <v>233</v>
      </c>
      <c r="O2" s="5" t="s">
        <v>113</v>
      </c>
      <c r="P2" s="5" t="s">
        <v>215</v>
      </c>
    </row>
    <row r="3" spans="1:23" x14ac:dyDescent="0.25">
      <c r="A3" s="4" t="s">
        <v>103</v>
      </c>
      <c r="B3" s="19">
        <v>0</v>
      </c>
      <c r="C3" s="19">
        <v>0</v>
      </c>
      <c r="D3" s="19">
        <v>0</v>
      </c>
      <c r="E3" s="19">
        <v>0</v>
      </c>
      <c r="F3" s="19">
        <v>0</v>
      </c>
      <c r="G3" s="19">
        <v>0</v>
      </c>
      <c r="H3" s="19">
        <v>0</v>
      </c>
      <c r="I3" s="19">
        <v>0</v>
      </c>
      <c r="J3" s="19">
        <v>0</v>
      </c>
      <c r="K3" s="19">
        <v>0</v>
      </c>
      <c r="L3" s="19">
        <v>0</v>
      </c>
      <c r="M3" s="19">
        <v>0</v>
      </c>
      <c r="N3" s="6">
        <f>SUM(B3:M3)</f>
        <v>0</v>
      </c>
      <c r="O3" s="98">
        <v>0</v>
      </c>
      <c r="P3" s="6">
        <f>N3-O3</f>
        <v>0</v>
      </c>
      <c r="Q3" s="23"/>
      <c r="R3" s="23"/>
      <c r="S3" s="23"/>
      <c r="T3" s="23"/>
      <c r="U3" s="23"/>
      <c r="V3" s="23"/>
      <c r="W3" s="23"/>
    </row>
    <row r="4" spans="1:23" x14ac:dyDescent="0.25">
      <c r="A4" s="18" t="s">
        <v>104</v>
      </c>
      <c r="B4" s="19">
        <v>0</v>
      </c>
      <c r="C4" s="19">
        <v>0</v>
      </c>
      <c r="D4" s="19">
        <v>0</v>
      </c>
      <c r="E4" s="19">
        <v>0</v>
      </c>
      <c r="F4" s="19">
        <v>5000</v>
      </c>
      <c r="G4" s="19">
        <v>70000</v>
      </c>
      <c r="H4" s="19">
        <v>110000</v>
      </c>
      <c r="I4" s="19">
        <v>110000</v>
      </c>
      <c r="J4" s="19">
        <v>5000</v>
      </c>
      <c r="K4" s="19">
        <v>0</v>
      </c>
      <c r="L4" s="19">
        <v>0</v>
      </c>
      <c r="M4" s="99">
        <v>0</v>
      </c>
      <c r="N4" s="6">
        <f>SUM(B4:M4)</f>
        <v>300000</v>
      </c>
      <c r="O4" s="98">
        <v>276228</v>
      </c>
      <c r="P4" s="6">
        <f t="shared" ref="P4:P6" si="0">N4-O4</f>
        <v>23772</v>
      </c>
    </row>
    <row r="5" spans="1:23" x14ac:dyDescent="0.25">
      <c r="A5" s="4" t="s">
        <v>106</v>
      </c>
      <c r="B5" s="19">
        <v>0</v>
      </c>
      <c r="C5" s="19">
        <v>0</v>
      </c>
      <c r="D5" s="19">
        <v>0</v>
      </c>
      <c r="E5" s="19">
        <v>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6">
        <f t="shared" ref="N5:N6" si="1">SUM(B5:M5)</f>
        <v>0</v>
      </c>
      <c r="O5" s="98">
        <v>0</v>
      </c>
      <c r="P5" s="6">
        <f t="shared" si="0"/>
        <v>0</v>
      </c>
      <c r="Q5" s="23"/>
      <c r="R5" s="23"/>
    </row>
    <row r="6" spans="1:23" ht="15.75" thickBot="1" x14ac:dyDescent="0.3">
      <c r="A6" s="4" t="s">
        <v>107</v>
      </c>
      <c r="B6" s="19">
        <v>0</v>
      </c>
      <c r="C6" s="19">
        <v>0</v>
      </c>
      <c r="D6" s="19">
        <v>0</v>
      </c>
      <c r="E6" s="19">
        <v>0</v>
      </c>
      <c r="F6" s="19">
        <v>0</v>
      </c>
      <c r="G6" s="19">
        <v>5000</v>
      </c>
      <c r="H6" s="19">
        <v>15000</v>
      </c>
      <c r="I6" s="19">
        <v>30000</v>
      </c>
      <c r="J6" s="19">
        <v>0</v>
      </c>
      <c r="K6" s="19">
        <v>0</v>
      </c>
      <c r="L6" s="19">
        <v>0</v>
      </c>
      <c r="M6" s="99">
        <v>0</v>
      </c>
      <c r="N6" s="6">
        <f t="shared" si="1"/>
        <v>50000</v>
      </c>
      <c r="O6" s="98">
        <v>37350</v>
      </c>
      <c r="P6" s="6">
        <f t="shared" si="0"/>
        <v>12650</v>
      </c>
    </row>
    <row r="7" spans="1:23" s="1" customFormat="1" ht="15.75" thickBot="1" x14ac:dyDescent="0.3">
      <c r="A7" s="7" t="s">
        <v>0</v>
      </c>
      <c r="B7" s="11">
        <f t="shared" ref="B7:P7" si="2">SUM(B3:B6)</f>
        <v>0</v>
      </c>
      <c r="C7" s="11">
        <f t="shared" si="2"/>
        <v>0</v>
      </c>
      <c r="D7" s="11">
        <f t="shared" si="2"/>
        <v>0</v>
      </c>
      <c r="E7" s="11">
        <f t="shared" si="2"/>
        <v>0</v>
      </c>
      <c r="F7" s="11">
        <f t="shared" si="2"/>
        <v>5000</v>
      </c>
      <c r="G7" s="11">
        <f t="shared" si="2"/>
        <v>75000</v>
      </c>
      <c r="H7" s="11">
        <f t="shared" si="2"/>
        <v>125000</v>
      </c>
      <c r="I7" s="11">
        <f t="shared" si="2"/>
        <v>140000</v>
      </c>
      <c r="J7" s="11">
        <f t="shared" si="2"/>
        <v>5000</v>
      </c>
      <c r="K7" s="11">
        <f t="shared" si="2"/>
        <v>0</v>
      </c>
      <c r="L7" s="11">
        <f t="shared" si="2"/>
        <v>0</v>
      </c>
      <c r="M7" s="11">
        <f t="shared" si="2"/>
        <v>0</v>
      </c>
      <c r="N7" s="13">
        <f t="shared" si="2"/>
        <v>350000</v>
      </c>
      <c r="O7" s="13">
        <f t="shared" si="2"/>
        <v>313578</v>
      </c>
      <c r="P7" s="13">
        <f t="shared" si="2"/>
        <v>36422</v>
      </c>
    </row>
    <row r="10" spans="1:23" ht="21.75" customHeight="1" thickBot="1" x14ac:dyDescent="0.3">
      <c r="A10" s="10" t="s">
        <v>110</v>
      </c>
    </row>
    <row r="11" spans="1:23" x14ac:dyDescent="0.25">
      <c r="A11" s="4"/>
      <c r="B11" s="8" t="s">
        <v>63</v>
      </c>
      <c r="C11" s="8" t="s">
        <v>64</v>
      </c>
      <c r="D11" s="8" t="s">
        <v>65</v>
      </c>
      <c r="E11" s="8" t="s">
        <v>66</v>
      </c>
      <c r="F11" s="8" t="s">
        <v>67</v>
      </c>
      <c r="G11" s="8" t="s">
        <v>68</v>
      </c>
      <c r="H11" s="8" t="s">
        <v>69</v>
      </c>
      <c r="I11" s="8" t="s">
        <v>70</v>
      </c>
      <c r="J11" s="8" t="s">
        <v>71</v>
      </c>
      <c r="K11" s="8" t="s">
        <v>72</v>
      </c>
      <c r="L11" s="8" t="s">
        <v>73</v>
      </c>
      <c r="M11" s="9" t="s">
        <v>74</v>
      </c>
      <c r="N11" s="5" t="str">
        <f>N2</f>
        <v>סה"כ 2018</v>
      </c>
      <c r="O11" s="5" t="str">
        <f>O2</f>
        <v>סה"כ 2017</v>
      </c>
      <c r="P11" s="5" t="s">
        <v>215</v>
      </c>
    </row>
    <row r="12" spans="1:23" x14ac:dyDescent="0.25">
      <c r="A12" s="18" t="s">
        <v>8</v>
      </c>
      <c r="B12" s="19">
        <v>0</v>
      </c>
      <c r="C12" s="19">
        <v>0</v>
      </c>
      <c r="D12" s="19">
        <v>0</v>
      </c>
      <c r="E12" s="19">
        <v>0</v>
      </c>
      <c r="F12" s="19">
        <v>2000</v>
      </c>
      <c r="G12" s="19">
        <v>14000</v>
      </c>
      <c r="H12" s="19">
        <v>22000</v>
      </c>
      <c r="I12" s="19">
        <v>25000</v>
      </c>
      <c r="J12" s="19">
        <v>1000</v>
      </c>
      <c r="K12" s="19">
        <v>0</v>
      </c>
      <c r="L12" s="19">
        <v>0</v>
      </c>
      <c r="M12" s="99">
        <v>0</v>
      </c>
      <c r="N12" s="6">
        <f>SUM(B12:M12)</f>
        <v>64000</v>
      </c>
      <c r="O12" s="98">
        <v>61699</v>
      </c>
      <c r="P12" s="6">
        <f>N12-O12</f>
        <v>2301</v>
      </c>
      <c r="V12" s="111">
        <f>N12/O12-1</f>
        <v>3.7293959383458475E-2</v>
      </c>
    </row>
    <row r="13" spans="1:23" x14ac:dyDescent="0.25">
      <c r="A13" s="18" t="s">
        <v>10</v>
      </c>
      <c r="B13" s="19">
        <v>0</v>
      </c>
      <c r="C13" s="19">
        <v>0</v>
      </c>
      <c r="D13" s="19">
        <v>0</v>
      </c>
      <c r="E13" s="19">
        <v>0</v>
      </c>
      <c r="F13" s="19">
        <v>1000</v>
      </c>
      <c r="G13" s="19">
        <v>8500</v>
      </c>
      <c r="H13" s="19">
        <v>20000</v>
      </c>
      <c r="I13" s="19">
        <v>20000</v>
      </c>
      <c r="J13" s="19">
        <v>500</v>
      </c>
      <c r="K13" s="19">
        <v>0</v>
      </c>
      <c r="L13" s="19">
        <v>0</v>
      </c>
      <c r="M13" s="99">
        <v>0</v>
      </c>
      <c r="N13" s="6">
        <f t="shared" ref="N13:N29" si="3">SUM(B13:M13)</f>
        <v>50000</v>
      </c>
      <c r="O13" s="98">
        <f>65615-18799</f>
        <v>46816</v>
      </c>
      <c r="P13" s="6">
        <f t="shared" ref="P13:P29" si="4">N13-O13</f>
        <v>3184</v>
      </c>
      <c r="Q13" s="100" t="s">
        <v>199</v>
      </c>
      <c r="R13" s="100"/>
      <c r="S13" s="100"/>
      <c r="V13" s="111">
        <f>N13/O13-1</f>
        <v>6.8010936431988966E-2</v>
      </c>
    </row>
    <row r="14" spans="1:23" x14ac:dyDescent="0.25">
      <c r="A14" s="18" t="s">
        <v>11</v>
      </c>
      <c r="B14" s="19">
        <v>0</v>
      </c>
      <c r="C14" s="19">
        <v>0</v>
      </c>
      <c r="D14" s="19">
        <v>0</v>
      </c>
      <c r="E14" s="19">
        <v>0</v>
      </c>
      <c r="F14" s="19">
        <v>1000</v>
      </c>
      <c r="G14" s="19">
        <v>11000</v>
      </c>
      <c r="H14" s="19">
        <v>29000</v>
      </c>
      <c r="I14" s="19">
        <v>29000</v>
      </c>
      <c r="J14" s="19">
        <v>1000</v>
      </c>
      <c r="K14" s="19">
        <v>0</v>
      </c>
      <c r="L14" s="19">
        <v>0</v>
      </c>
      <c r="M14" s="99">
        <v>0</v>
      </c>
      <c r="N14" s="6">
        <f t="shared" si="3"/>
        <v>71000</v>
      </c>
      <c r="O14" s="98">
        <f>53044+12000-3000</f>
        <v>62044</v>
      </c>
      <c r="P14" s="6">
        <f t="shared" si="4"/>
        <v>8956</v>
      </c>
    </row>
    <row r="15" spans="1:23" x14ac:dyDescent="0.25">
      <c r="A15" s="18" t="s">
        <v>12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99">
        <v>0</v>
      </c>
      <c r="N15" s="6">
        <f t="shared" si="3"/>
        <v>0</v>
      </c>
      <c r="O15" s="98">
        <v>0</v>
      </c>
      <c r="P15" s="6">
        <f t="shared" si="4"/>
        <v>0</v>
      </c>
      <c r="Q15" s="100" t="s">
        <v>116</v>
      </c>
      <c r="R15" s="100"/>
      <c r="S15" s="23"/>
      <c r="T15" s="23"/>
      <c r="U15" s="23"/>
    </row>
    <row r="16" spans="1:23" x14ac:dyDescent="0.25">
      <c r="A16" s="18" t="s">
        <v>13</v>
      </c>
      <c r="B16" s="19">
        <v>0</v>
      </c>
      <c r="C16" s="19">
        <v>0</v>
      </c>
      <c r="D16" s="19">
        <v>0</v>
      </c>
      <c r="E16" s="19">
        <v>0</v>
      </c>
      <c r="F16" s="108">
        <v>20000</v>
      </c>
      <c r="G16" s="108">
        <v>5000</v>
      </c>
      <c r="H16" s="108">
        <v>5000</v>
      </c>
      <c r="I16" s="108">
        <v>5000</v>
      </c>
      <c r="J16" s="19">
        <v>0</v>
      </c>
      <c r="K16" s="19">
        <v>0</v>
      </c>
      <c r="L16" s="19">
        <v>0</v>
      </c>
      <c r="M16" s="19">
        <v>0</v>
      </c>
      <c r="N16" s="6">
        <f t="shared" si="3"/>
        <v>35000</v>
      </c>
      <c r="O16" s="112">
        <v>35000</v>
      </c>
      <c r="P16" s="6">
        <f t="shared" si="4"/>
        <v>0</v>
      </c>
      <c r="Q16" s="105" t="s">
        <v>255</v>
      </c>
      <c r="R16" s="23"/>
      <c r="S16" s="23"/>
      <c r="T16" s="23"/>
    </row>
    <row r="17" spans="1:20" x14ac:dyDescent="0.25">
      <c r="A17" s="18" t="s">
        <v>14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6">
        <f t="shared" si="3"/>
        <v>0</v>
      </c>
      <c r="O17" s="98">
        <v>0</v>
      </c>
      <c r="P17" s="6">
        <f t="shared" si="4"/>
        <v>0</v>
      </c>
      <c r="Q17" s="100" t="s">
        <v>115</v>
      </c>
      <c r="R17" s="100"/>
      <c r="S17" s="100"/>
      <c r="T17" s="100"/>
    </row>
    <row r="18" spans="1:20" x14ac:dyDescent="0.25">
      <c r="A18" s="18" t="s">
        <v>15</v>
      </c>
      <c r="B18" s="19">
        <v>0</v>
      </c>
      <c r="C18" s="19">
        <v>0</v>
      </c>
      <c r="D18" s="19">
        <v>0</v>
      </c>
      <c r="E18" s="19">
        <v>0</v>
      </c>
      <c r="F18" s="19">
        <v>1000</v>
      </c>
      <c r="G18" s="19">
        <v>1000</v>
      </c>
      <c r="H18" s="19">
        <v>1000</v>
      </c>
      <c r="I18" s="19">
        <v>1000</v>
      </c>
      <c r="J18" s="19">
        <v>0</v>
      </c>
      <c r="K18" s="19">
        <v>0</v>
      </c>
      <c r="L18" s="19">
        <v>0</v>
      </c>
      <c r="M18" s="19">
        <v>0</v>
      </c>
      <c r="N18" s="6">
        <f t="shared" si="3"/>
        <v>4000</v>
      </c>
      <c r="O18" s="98">
        <f>704+3000</f>
        <v>3704</v>
      </c>
      <c r="P18" s="6">
        <f t="shared" si="4"/>
        <v>296</v>
      </c>
    </row>
    <row r="19" spans="1:20" x14ac:dyDescent="0.25">
      <c r="A19" s="18" t="s">
        <v>108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6">
        <f t="shared" si="3"/>
        <v>0</v>
      </c>
      <c r="O19" s="98">
        <v>0</v>
      </c>
      <c r="P19" s="6">
        <f t="shared" si="4"/>
        <v>0</v>
      </c>
    </row>
    <row r="20" spans="1:20" x14ac:dyDescent="0.25">
      <c r="A20" s="18" t="s">
        <v>16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6">
        <f t="shared" si="3"/>
        <v>0</v>
      </c>
      <c r="O20" s="98">
        <v>0</v>
      </c>
      <c r="P20" s="6">
        <f t="shared" si="4"/>
        <v>0</v>
      </c>
      <c r="Q20" s="23"/>
      <c r="R20" s="23"/>
      <c r="S20" s="23"/>
      <c r="T20" s="23"/>
    </row>
    <row r="21" spans="1:20" x14ac:dyDescent="0.25">
      <c r="A21" s="18" t="s">
        <v>17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6">
        <f t="shared" si="3"/>
        <v>0</v>
      </c>
      <c r="O21" s="98">
        <v>0</v>
      </c>
      <c r="P21" s="6">
        <f t="shared" si="4"/>
        <v>0</v>
      </c>
    </row>
    <row r="22" spans="1:20" x14ac:dyDescent="0.25">
      <c r="A22" s="18" t="s">
        <v>201</v>
      </c>
      <c r="B22" s="19">
        <v>0</v>
      </c>
      <c r="C22" s="19">
        <v>0</v>
      </c>
      <c r="D22" s="19">
        <v>0</v>
      </c>
      <c r="E22" s="19">
        <v>0</v>
      </c>
      <c r="F22" s="19">
        <v>4500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6">
        <f t="shared" si="3"/>
        <v>4500</v>
      </c>
      <c r="O22" s="98">
        <v>4239</v>
      </c>
      <c r="P22" s="6">
        <f t="shared" si="4"/>
        <v>261</v>
      </c>
    </row>
    <row r="23" spans="1:20" x14ac:dyDescent="0.25">
      <c r="A23" s="18" t="s">
        <v>22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6">
        <f t="shared" si="3"/>
        <v>0</v>
      </c>
      <c r="O23" s="98">
        <v>0</v>
      </c>
      <c r="P23" s="6">
        <f t="shared" si="4"/>
        <v>0</v>
      </c>
    </row>
    <row r="24" spans="1:20" x14ac:dyDescent="0.25">
      <c r="A24" s="18" t="s">
        <v>18</v>
      </c>
      <c r="B24" s="19">
        <v>0</v>
      </c>
      <c r="C24" s="19">
        <v>0</v>
      </c>
      <c r="D24" s="19">
        <v>0</v>
      </c>
      <c r="E24" s="19">
        <v>0</v>
      </c>
      <c r="F24" s="19">
        <v>4000</v>
      </c>
      <c r="G24" s="19">
        <v>10000</v>
      </c>
      <c r="H24" s="19">
        <v>10000</v>
      </c>
      <c r="I24" s="19">
        <v>4000</v>
      </c>
      <c r="J24" s="19">
        <v>0</v>
      </c>
      <c r="K24" s="19">
        <v>0</v>
      </c>
      <c r="L24" s="19">
        <v>0</v>
      </c>
      <c r="M24" s="99">
        <v>0</v>
      </c>
      <c r="N24" s="6">
        <f t="shared" si="3"/>
        <v>28000</v>
      </c>
      <c r="O24" s="98">
        <f>28472+425-4239</f>
        <v>24658</v>
      </c>
      <c r="P24" s="6">
        <f t="shared" si="4"/>
        <v>3342</v>
      </c>
    </row>
    <row r="25" spans="1:20" x14ac:dyDescent="0.25">
      <c r="A25" s="18" t="s">
        <v>19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6">
        <f t="shared" si="3"/>
        <v>0</v>
      </c>
      <c r="O25" s="98">
        <v>0</v>
      </c>
      <c r="P25" s="6">
        <f t="shared" si="4"/>
        <v>0</v>
      </c>
    </row>
    <row r="26" spans="1:20" x14ac:dyDescent="0.25">
      <c r="A26" s="18" t="s">
        <v>20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6">
        <f t="shared" si="3"/>
        <v>0</v>
      </c>
      <c r="O26" s="98">
        <f>152+492</f>
        <v>644</v>
      </c>
      <c r="P26" s="6">
        <f t="shared" si="4"/>
        <v>-644</v>
      </c>
    </row>
    <row r="27" spans="1:20" x14ac:dyDescent="0.25">
      <c r="A27" s="18" t="s">
        <v>21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6">
        <f t="shared" si="3"/>
        <v>0</v>
      </c>
      <c r="O27" s="98">
        <v>0</v>
      </c>
      <c r="P27" s="6">
        <f t="shared" si="4"/>
        <v>0</v>
      </c>
      <c r="Q27" s="23"/>
      <c r="R27" s="23"/>
    </row>
    <row r="28" spans="1:20" x14ac:dyDescent="0.25">
      <c r="A28" s="18" t="s">
        <v>102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4000</v>
      </c>
      <c r="H28" s="28">
        <v>4000</v>
      </c>
      <c r="I28" s="28">
        <v>4000</v>
      </c>
      <c r="J28" s="28">
        <v>0</v>
      </c>
      <c r="K28" s="28">
        <v>0</v>
      </c>
      <c r="L28" s="28">
        <v>0</v>
      </c>
      <c r="M28" s="28">
        <v>0</v>
      </c>
      <c r="N28" s="6">
        <f t="shared" si="3"/>
        <v>12000</v>
      </c>
      <c r="O28" s="98">
        <v>0</v>
      </c>
      <c r="P28" s="6">
        <f t="shared" si="4"/>
        <v>12000</v>
      </c>
      <c r="Q28" s="23"/>
      <c r="R28" s="23"/>
      <c r="S28" s="23"/>
      <c r="T28" s="23"/>
    </row>
    <row r="29" spans="1:20" ht="15.75" thickBot="1" x14ac:dyDescent="0.3">
      <c r="A29" s="20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4"/>
      <c r="N29" s="6">
        <f t="shared" si="3"/>
        <v>0</v>
      </c>
      <c r="O29" s="98"/>
      <c r="P29" s="6">
        <f t="shared" si="4"/>
        <v>0</v>
      </c>
    </row>
    <row r="30" spans="1:20" s="1" customFormat="1" ht="15.75" thickBot="1" x14ac:dyDescent="0.3">
      <c r="A30" s="7" t="s">
        <v>1</v>
      </c>
      <c r="B30" s="11">
        <f>SUM(B12:B29)</f>
        <v>0</v>
      </c>
      <c r="C30" s="11">
        <f t="shared" ref="C30:P30" si="5">SUM(C12:C29)</f>
        <v>0</v>
      </c>
      <c r="D30" s="11">
        <f t="shared" si="5"/>
        <v>0</v>
      </c>
      <c r="E30" s="11">
        <f t="shared" si="5"/>
        <v>0</v>
      </c>
      <c r="F30" s="11">
        <f t="shared" si="5"/>
        <v>33500</v>
      </c>
      <c r="G30" s="11">
        <f t="shared" si="5"/>
        <v>53500</v>
      </c>
      <c r="H30" s="11">
        <f t="shared" si="5"/>
        <v>91000</v>
      </c>
      <c r="I30" s="11">
        <f t="shared" si="5"/>
        <v>88000</v>
      </c>
      <c r="J30" s="11">
        <f t="shared" si="5"/>
        <v>2500</v>
      </c>
      <c r="K30" s="11">
        <f t="shared" si="5"/>
        <v>0</v>
      </c>
      <c r="L30" s="11">
        <f t="shared" si="5"/>
        <v>0</v>
      </c>
      <c r="M30" s="12">
        <f t="shared" si="5"/>
        <v>0</v>
      </c>
      <c r="N30" s="13">
        <f t="shared" si="5"/>
        <v>268500</v>
      </c>
      <c r="O30" s="13">
        <f t="shared" si="5"/>
        <v>238804</v>
      </c>
      <c r="P30" s="13">
        <f t="shared" si="5"/>
        <v>29696</v>
      </c>
    </row>
    <row r="31" spans="1:20" ht="15.75" thickBot="1" x14ac:dyDescent="0.3"/>
    <row r="32" spans="1:20" s="1" customFormat="1" ht="15.75" thickBot="1" x14ac:dyDescent="0.3">
      <c r="A32" s="24" t="s">
        <v>75</v>
      </c>
      <c r="B32" s="25">
        <f>B7-B30</f>
        <v>0</v>
      </c>
      <c r="C32" s="25">
        <f t="shared" ref="C32:P32" si="6">C7-C30</f>
        <v>0</v>
      </c>
      <c r="D32" s="25">
        <f t="shared" si="6"/>
        <v>0</v>
      </c>
      <c r="E32" s="25">
        <f t="shared" si="6"/>
        <v>0</v>
      </c>
      <c r="F32" s="25">
        <f t="shared" si="6"/>
        <v>-28500</v>
      </c>
      <c r="G32" s="25">
        <f t="shared" si="6"/>
        <v>21500</v>
      </c>
      <c r="H32" s="25">
        <f t="shared" si="6"/>
        <v>34000</v>
      </c>
      <c r="I32" s="25">
        <f t="shared" si="6"/>
        <v>52000</v>
      </c>
      <c r="J32" s="25">
        <f t="shared" si="6"/>
        <v>2500</v>
      </c>
      <c r="K32" s="25">
        <f t="shared" si="6"/>
        <v>0</v>
      </c>
      <c r="L32" s="25">
        <f t="shared" si="6"/>
        <v>0</v>
      </c>
      <c r="M32" s="25">
        <f t="shared" si="6"/>
        <v>0</v>
      </c>
      <c r="N32" s="25">
        <f t="shared" si="6"/>
        <v>81500</v>
      </c>
      <c r="O32" s="25">
        <f t="shared" si="6"/>
        <v>74774</v>
      </c>
      <c r="P32" s="25">
        <f t="shared" si="6"/>
        <v>6726</v>
      </c>
    </row>
    <row r="36" spans="14:16" x14ac:dyDescent="0.25">
      <c r="N36" s="14"/>
      <c r="O36" s="14"/>
      <c r="P36" s="14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16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8"/>
  <sheetViews>
    <sheetView showGridLines="0" rightToLeft="1" zoomScaleNormal="100" workbookViewId="0">
      <selection activeCell="A5" sqref="A5"/>
    </sheetView>
  </sheetViews>
  <sheetFormatPr defaultRowHeight="15" x14ac:dyDescent="0.25"/>
  <cols>
    <col min="1" max="1" width="33.25" customWidth="1"/>
    <col min="2" max="13" width="10.875" bestFit="1" customWidth="1"/>
    <col min="14" max="16" width="12.375" style="1" bestFit="1" customWidth="1"/>
  </cols>
  <sheetData>
    <row r="1" spans="1:23" ht="21.75" customHeight="1" thickBot="1" x14ac:dyDescent="0.3">
      <c r="A1" s="10" t="s">
        <v>138</v>
      </c>
    </row>
    <row r="2" spans="1:23" x14ac:dyDescent="0.25">
      <c r="A2" s="4"/>
      <c r="B2" s="8" t="s">
        <v>63</v>
      </c>
      <c r="C2" s="8" t="s">
        <v>64</v>
      </c>
      <c r="D2" s="8" t="s">
        <v>65</v>
      </c>
      <c r="E2" s="8" t="s">
        <v>66</v>
      </c>
      <c r="F2" s="8" t="s">
        <v>67</v>
      </c>
      <c r="G2" s="8" t="s">
        <v>68</v>
      </c>
      <c r="H2" s="8" t="s">
        <v>69</v>
      </c>
      <c r="I2" s="8" t="s">
        <v>70</v>
      </c>
      <c r="J2" s="8" t="s">
        <v>71</v>
      </c>
      <c r="K2" s="8" t="s">
        <v>72</v>
      </c>
      <c r="L2" s="8" t="s">
        <v>73</v>
      </c>
      <c r="M2" s="9" t="s">
        <v>74</v>
      </c>
      <c r="N2" s="5" t="s">
        <v>233</v>
      </c>
      <c r="O2" s="5" t="s">
        <v>113</v>
      </c>
      <c r="P2" s="5" t="s">
        <v>215</v>
      </c>
    </row>
    <row r="3" spans="1:23" ht="15.75" thickBot="1" x14ac:dyDescent="0.3">
      <c r="A3" s="4" t="s">
        <v>133</v>
      </c>
      <c r="B3" s="19">
        <v>0</v>
      </c>
      <c r="C3" s="19">
        <v>0</v>
      </c>
      <c r="D3" s="19">
        <v>0</v>
      </c>
      <c r="E3" s="19">
        <v>0</v>
      </c>
      <c r="F3" s="19">
        <v>0</v>
      </c>
      <c r="G3" s="19">
        <v>10000</v>
      </c>
      <c r="H3" s="19">
        <v>10000</v>
      </c>
      <c r="I3" s="19">
        <v>10000</v>
      </c>
      <c r="J3" s="19">
        <v>0</v>
      </c>
      <c r="K3" s="19">
        <v>0</v>
      </c>
      <c r="L3" s="19">
        <v>0</v>
      </c>
      <c r="M3" s="99">
        <v>0</v>
      </c>
      <c r="N3" s="6">
        <f>SUM(B3:M3)</f>
        <v>30000</v>
      </c>
      <c r="O3" s="98">
        <v>175989</v>
      </c>
      <c r="P3" s="6">
        <f>N3-O3</f>
        <v>-145989</v>
      </c>
      <c r="Q3" s="23"/>
      <c r="R3" s="23"/>
      <c r="S3" s="23"/>
      <c r="T3" s="23"/>
      <c r="U3" s="23"/>
      <c r="V3" s="23"/>
      <c r="W3" s="23"/>
    </row>
    <row r="4" spans="1:23" s="1" customFormat="1" ht="15.75" thickBot="1" x14ac:dyDescent="0.3">
      <c r="A4" s="7" t="s">
        <v>0</v>
      </c>
      <c r="B4" s="11">
        <f t="shared" ref="B4:P4" si="0">SUM(B3:B3)</f>
        <v>0</v>
      </c>
      <c r="C4" s="11">
        <f t="shared" si="0"/>
        <v>0</v>
      </c>
      <c r="D4" s="11">
        <f t="shared" si="0"/>
        <v>0</v>
      </c>
      <c r="E4" s="11">
        <f t="shared" si="0"/>
        <v>0</v>
      </c>
      <c r="F4" s="11">
        <f t="shared" si="0"/>
        <v>0</v>
      </c>
      <c r="G4" s="11">
        <f t="shared" si="0"/>
        <v>10000</v>
      </c>
      <c r="H4" s="11">
        <f t="shared" si="0"/>
        <v>10000</v>
      </c>
      <c r="I4" s="11">
        <f t="shared" si="0"/>
        <v>10000</v>
      </c>
      <c r="J4" s="11">
        <f t="shared" si="0"/>
        <v>0</v>
      </c>
      <c r="K4" s="11">
        <f t="shared" si="0"/>
        <v>0</v>
      </c>
      <c r="L4" s="11">
        <f t="shared" si="0"/>
        <v>0</v>
      </c>
      <c r="M4" s="11">
        <f t="shared" si="0"/>
        <v>0</v>
      </c>
      <c r="N4" s="13">
        <f t="shared" si="0"/>
        <v>30000</v>
      </c>
      <c r="O4" s="13">
        <f t="shared" si="0"/>
        <v>175989</v>
      </c>
      <c r="P4" s="13">
        <f t="shared" si="0"/>
        <v>-145989</v>
      </c>
    </row>
    <row r="7" spans="1:23" ht="21.75" customHeight="1" thickBot="1" x14ac:dyDescent="0.3">
      <c r="A7" s="10" t="s">
        <v>139</v>
      </c>
    </row>
    <row r="8" spans="1:23" x14ac:dyDescent="0.25">
      <c r="A8" s="4"/>
      <c r="B8" s="8" t="s">
        <v>63</v>
      </c>
      <c r="C8" s="8" t="s">
        <v>64</v>
      </c>
      <c r="D8" s="8" t="s">
        <v>65</v>
      </c>
      <c r="E8" s="8" t="s">
        <v>66</v>
      </c>
      <c r="F8" s="8" t="s">
        <v>67</v>
      </c>
      <c r="G8" s="8" t="s">
        <v>68</v>
      </c>
      <c r="H8" s="8" t="s">
        <v>69</v>
      </c>
      <c r="I8" s="8" t="s">
        <v>70</v>
      </c>
      <c r="J8" s="8" t="s">
        <v>71</v>
      </c>
      <c r="K8" s="8" t="s">
        <v>72</v>
      </c>
      <c r="L8" s="8" t="s">
        <v>73</v>
      </c>
      <c r="M8" s="9" t="s">
        <v>74</v>
      </c>
      <c r="N8" s="5" t="str">
        <f>N2</f>
        <v>סה"כ 2018</v>
      </c>
      <c r="O8" s="5" t="str">
        <f>O2</f>
        <v>סה"כ 2017</v>
      </c>
      <c r="P8" s="5" t="s">
        <v>215</v>
      </c>
    </row>
    <row r="9" spans="1:23" x14ac:dyDescent="0.25">
      <c r="A9" s="18" t="s">
        <v>8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f>0*0.5</f>
        <v>0</v>
      </c>
      <c r="H9" s="19">
        <f t="shared" ref="H9:I9" si="1">0*0.5</f>
        <v>0</v>
      </c>
      <c r="I9" s="19">
        <f t="shared" si="1"/>
        <v>0</v>
      </c>
      <c r="J9" s="19">
        <v>0</v>
      </c>
      <c r="K9" s="19">
        <v>0</v>
      </c>
      <c r="L9" s="19">
        <v>0</v>
      </c>
      <c r="M9" s="99">
        <v>0</v>
      </c>
      <c r="N9" s="6">
        <f>SUM(B9:M9)</f>
        <v>0</v>
      </c>
      <c r="O9" s="98">
        <f>ROUND(69203*0.5,0)</f>
        <v>34602</v>
      </c>
      <c r="P9" s="6">
        <f>N9-O9</f>
        <v>-34602</v>
      </c>
      <c r="Q9" s="100" t="s">
        <v>178</v>
      </c>
      <c r="R9" s="100"/>
      <c r="S9" s="100"/>
      <c r="T9" s="100"/>
      <c r="U9" s="100"/>
      <c r="V9" s="100"/>
    </row>
    <row r="10" spans="1:23" x14ac:dyDescent="0.25">
      <c r="A10" s="18" t="s">
        <v>135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f>G3*0.4*0</f>
        <v>0</v>
      </c>
      <c r="H10" s="19">
        <f t="shared" ref="H10:I10" si="2">H3*0.4*0</f>
        <v>0</v>
      </c>
      <c r="I10" s="19">
        <f t="shared" si="2"/>
        <v>0</v>
      </c>
      <c r="J10" s="19">
        <v>0</v>
      </c>
      <c r="K10" s="19">
        <v>0</v>
      </c>
      <c r="L10" s="19">
        <v>0</v>
      </c>
      <c r="M10" s="99">
        <v>0</v>
      </c>
      <c r="N10" s="6">
        <f t="shared" ref="N10:N11" si="3">SUM(B10:M10)</f>
        <v>0</v>
      </c>
      <c r="O10" s="98">
        <v>73928</v>
      </c>
      <c r="P10" s="6">
        <f t="shared" ref="P10:P11" si="4">N10-O10</f>
        <v>-73928</v>
      </c>
      <c r="Q10" s="23"/>
      <c r="R10" s="23"/>
      <c r="S10" s="23"/>
      <c r="T10" s="23"/>
      <c r="U10" s="23"/>
      <c r="V10" s="23"/>
    </row>
    <row r="11" spans="1:23" ht="15.75" thickBot="1" x14ac:dyDescent="0.3">
      <c r="A11" s="18" t="s">
        <v>134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99">
        <v>0</v>
      </c>
      <c r="N11" s="6">
        <f t="shared" si="3"/>
        <v>0</v>
      </c>
      <c r="O11" s="98">
        <v>0</v>
      </c>
      <c r="P11" s="6">
        <f t="shared" si="4"/>
        <v>0</v>
      </c>
    </row>
    <row r="12" spans="1:23" s="1" customFormat="1" ht="15.75" thickBot="1" x14ac:dyDescent="0.3">
      <c r="A12" s="7" t="s">
        <v>1</v>
      </c>
      <c r="B12" s="11">
        <f t="shared" ref="B12:P12" si="5">SUM(B9:B11)</f>
        <v>0</v>
      </c>
      <c r="C12" s="11">
        <f t="shared" si="5"/>
        <v>0</v>
      </c>
      <c r="D12" s="11">
        <f t="shared" si="5"/>
        <v>0</v>
      </c>
      <c r="E12" s="11">
        <f t="shared" si="5"/>
        <v>0</v>
      </c>
      <c r="F12" s="11">
        <f t="shared" si="5"/>
        <v>0</v>
      </c>
      <c r="G12" s="11">
        <f t="shared" si="5"/>
        <v>0</v>
      </c>
      <c r="H12" s="11">
        <f t="shared" si="5"/>
        <v>0</v>
      </c>
      <c r="I12" s="11">
        <f t="shared" si="5"/>
        <v>0</v>
      </c>
      <c r="J12" s="11">
        <f t="shared" si="5"/>
        <v>0</v>
      </c>
      <c r="K12" s="11">
        <f t="shared" si="5"/>
        <v>0</v>
      </c>
      <c r="L12" s="11">
        <f t="shared" si="5"/>
        <v>0</v>
      </c>
      <c r="M12" s="12">
        <f t="shared" si="5"/>
        <v>0</v>
      </c>
      <c r="N12" s="13">
        <f t="shared" si="5"/>
        <v>0</v>
      </c>
      <c r="O12" s="13">
        <f t="shared" si="5"/>
        <v>108530</v>
      </c>
      <c r="P12" s="13">
        <f t="shared" si="5"/>
        <v>-108530</v>
      </c>
    </row>
    <row r="13" spans="1:23" ht="15.75" thickBot="1" x14ac:dyDescent="0.3"/>
    <row r="14" spans="1:23" s="1" customFormat="1" ht="15.75" thickBot="1" x14ac:dyDescent="0.3">
      <c r="A14" s="24" t="s">
        <v>75</v>
      </c>
      <c r="B14" s="25">
        <f t="shared" ref="B14:P14" si="6">B4-B12</f>
        <v>0</v>
      </c>
      <c r="C14" s="25">
        <f t="shared" si="6"/>
        <v>0</v>
      </c>
      <c r="D14" s="25">
        <f t="shared" si="6"/>
        <v>0</v>
      </c>
      <c r="E14" s="25">
        <f t="shared" si="6"/>
        <v>0</v>
      </c>
      <c r="F14" s="25">
        <f t="shared" si="6"/>
        <v>0</v>
      </c>
      <c r="G14" s="25">
        <f t="shared" si="6"/>
        <v>10000</v>
      </c>
      <c r="H14" s="25">
        <f t="shared" si="6"/>
        <v>10000</v>
      </c>
      <c r="I14" s="25">
        <f t="shared" si="6"/>
        <v>10000</v>
      </c>
      <c r="J14" s="25">
        <f t="shared" si="6"/>
        <v>0</v>
      </c>
      <c r="K14" s="25">
        <f t="shared" si="6"/>
        <v>0</v>
      </c>
      <c r="L14" s="25">
        <f t="shared" si="6"/>
        <v>0</v>
      </c>
      <c r="M14" s="25">
        <f t="shared" si="6"/>
        <v>0</v>
      </c>
      <c r="N14" s="25">
        <f t="shared" si="6"/>
        <v>30000</v>
      </c>
      <c r="O14" s="25">
        <f t="shared" si="6"/>
        <v>67459</v>
      </c>
      <c r="P14" s="25">
        <f t="shared" si="6"/>
        <v>-37459</v>
      </c>
    </row>
    <row r="18" spans="14:16" x14ac:dyDescent="0.25">
      <c r="N18" s="14"/>
      <c r="O18" s="14"/>
      <c r="P18" s="14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1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9"/>
  <sheetViews>
    <sheetView showGridLines="0" rightToLeft="1" zoomScaleNormal="100" workbookViewId="0">
      <selection activeCell="A6" sqref="A6"/>
    </sheetView>
  </sheetViews>
  <sheetFormatPr defaultRowHeight="15" x14ac:dyDescent="0.25"/>
  <cols>
    <col min="1" max="1" width="33.25" customWidth="1"/>
    <col min="2" max="13" width="10.875" bestFit="1" customWidth="1"/>
    <col min="14" max="16" width="12.375" style="1" bestFit="1" customWidth="1"/>
  </cols>
  <sheetData>
    <row r="1" spans="1:25" ht="21.75" customHeight="1" thickBot="1" x14ac:dyDescent="0.3">
      <c r="A1" s="10" t="s">
        <v>131</v>
      </c>
    </row>
    <row r="2" spans="1:25" x14ac:dyDescent="0.25">
      <c r="A2" s="4"/>
      <c r="B2" s="8" t="s">
        <v>63</v>
      </c>
      <c r="C2" s="8" t="s">
        <v>64</v>
      </c>
      <c r="D2" s="8" t="s">
        <v>65</v>
      </c>
      <c r="E2" s="8" t="s">
        <v>66</v>
      </c>
      <c r="F2" s="8" t="s">
        <v>67</v>
      </c>
      <c r="G2" s="8" t="s">
        <v>68</v>
      </c>
      <c r="H2" s="8" t="s">
        <v>69</v>
      </c>
      <c r="I2" s="8" t="s">
        <v>70</v>
      </c>
      <c r="J2" s="8" t="s">
        <v>71</v>
      </c>
      <c r="K2" s="8" t="s">
        <v>72</v>
      </c>
      <c r="L2" s="8" t="s">
        <v>73</v>
      </c>
      <c r="M2" s="9" t="s">
        <v>74</v>
      </c>
      <c r="N2" s="5" t="s">
        <v>233</v>
      </c>
      <c r="O2" s="5" t="s">
        <v>113</v>
      </c>
      <c r="P2" s="5" t="s">
        <v>215</v>
      </c>
    </row>
    <row r="3" spans="1:25" x14ac:dyDescent="0.25">
      <c r="A3" s="4" t="s">
        <v>133</v>
      </c>
      <c r="B3" s="19">
        <v>0</v>
      </c>
      <c r="C3" s="19">
        <v>0</v>
      </c>
      <c r="D3" s="19">
        <v>0</v>
      </c>
      <c r="E3" s="19">
        <v>0</v>
      </c>
      <c r="F3" s="19">
        <v>0</v>
      </c>
      <c r="G3" s="19">
        <v>10000</v>
      </c>
      <c r="H3" s="19">
        <v>10000</v>
      </c>
      <c r="I3" s="19">
        <v>10000</v>
      </c>
      <c r="J3" s="19">
        <v>0</v>
      </c>
      <c r="K3" s="19">
        <v>0</v>
      </c>
      <c r="L3" s="19">
        <v>0</v>
      </c>
      <c r="M3" s="99">
        <v>0</v>
      </c>
      <c r="N3" s="6">
        <f>SUM(B3:M3)</f>
        <v>30000</v>
      </c>
      <c r="O3" s="98">
        <v>156513</v>
      </c>
      <c r="P3" s="6">
        <f>N3-O3</f>
        <v>-126513</v>
      </c>
      <c r="Q3" s="23"/>
      <c r="R3" s="23"/>
      <c r="S3" s="23"/>
      <c r="T3" s="23"/>
      <c r="U3" s="23"/>
      <c r="V3" s="23"/>
      <c r="W3" s="23"/>
    </row>
    <row r="4" spans="1:25" ht="15.75" thickBot="1" x14ac:dyDescent="0.3">
      <c r="A4" s="18" t="s">
        <v>104</v>
      </c>
      <c r="B4" s="19">
        <v>0</v>
      </c>
      <c r="C4" s="19">
        <v>0</v>
      </c>
      <c r="D4" s="19">
        <v>0</v>
      </c>
      <c r="E4" s="19">
        <v>0</v>
      </c>
      <c r="F4" s="19">
        <v>0</v>
      </c>
      <c r="G4" s="19">
        <v>0</v>
      </c>
      <c r="H4" s="19">
        <v>0</v>
      </c>
      <c r="I4" s="19">
        <v>0</v>
      </c>
      <c r="J4" s="19">
        <v>0</v>
      </c>
      <c r="K4" s="19">
        <v>0</v>
      </c>
      <c r="L4" s="19">
        <v>0</v>
      </c>
      <c r="M4" s="19">
        <v>0</v>
      </c>
      <c r="N4" s="6">
        <f>SUM(B4:M4)</f>
        <v>0</v>
      </c>
      <c r="O4" s="98">
        <v>0</v>
      </c>
      <c r="P4" s="6">
        <f>N4-O4</f>
        <v>0</v>
      </c>
    </row>
    <row r="5" spans="1:25" s="1" customFormat="1" ht="15.75" thickBot="1" x14ac:dyDescent="0.3">
      <c r="A5" s="7" t="s">
        <v>0</v>
      </c>
      <c r="B5" s="11">
        <f t="shared" ref="B5:P5" si="0">SUM(B3:B4)</f>
        <v>0</v>
      </c>
      <c r="C5" s="11">
        <f t="shared" si="0"/>
        <v>0</v>
      </c>
      <c r="D5" s="11">
        <f t="shared" si="0"/>
        <v>0</v>
      </c>
      <c r="E5" s="11">
        <f t="shared" si="0"/>
        <v>0</v>
      </c>
      <c r="F5" s="11">
        <f t="shared" si="0"/>
        <v>0</v>
      </c>
      <c r="G5" s="11">
        <f t="shared" si="0"/>
        <v>10000</v>
      </c>
      <c r="H5" s="11">
        <f t="shared" si="0"/>
        <v>10000</v>
      </c>
      <c r="I5" s="11">
        <f t="shared" si="0"/>
        <v>10000</v>
      </c>
      <c r="J5" s="11">
        <f t="shared" si="0"/>
        <v>0</v>
      </c>
      <c r="K5" s="11">
        <f t="shared" si="0"/>
        <v>0</v>
      </c>
      <c r="L5" s="11">
        <f t="shared" si="0"/>
        <v>0</v>
      </c>
      <c r="M5" s="11">
        <f t="shared" si="0"/>
        <v>0</v>
      </c>
      <c r="N5" s="13">
        <f t="shared" si="0"/>
        <v>30000</v>
      </c>
      <c r="O5" s="13">
        <f t="shared" si="0"/>
        <v>156513</v>
      </c>
      <c r="P5" s="13">
        <f t="shared" si="0"/>
        <v>-126513</v>
      </c>
    </row>
    <row r="8" spans="1:25" ht="21.75" customHeight="1" thickBot="1" x14ac:dyDescent="0.3">
      <c r="A8" s="10" t="s">
        <v>132</v>
      </c>
    </row>
    <row r="9" spans="1:25" x14ac:dyDescent="0.25">
      <c r="A9" s="4"/>
      <c r="B9" s="8" t="s">
        <v>63</v>
      </c>
      <c r="C9" s="8" t="s">
        <v>64</v>
      </c>
      <c r="D9" s="8" t="s">
        <v>65</v>
      </c>
      <c r="E9" s="8" t="s">
        <v>66</v>
      </c>
      <c r="F9" s="8" t="s">
        <v>67</v>
      </c>
      <c r="G9" s="8" t="s">
        <v>68</v>
      </c>
      <c r="H9" s="8" t="s">
        <v>69</v>
      </c>
      <c r="I9" s="8" t="s">
        <v>70</v>
      </c>
      <c r="J9" s="8" t="s">
        <v>71</v>
      </c>
      <c r="K9" s="8" t="s">
        <v>72</v>
      </c>
      <c r="L9" s="8" t="s">
        <v>73</v>
      </c>
      <c r="M9" s="9" t="s">
        <v>74</v>
      </c>
      <c r="N9" s="5" t="str">
        <f>N2</f>
        <v>סה"כ 2018</v>
      </c>
      <c r="O9" s="5" t="str">
        <f>O2</f>
        <v>סה"כ 2017</v>
      </c>
      <c r="P9" s="5" t="s">
        <v>215</v>
      </c>
    </row>
    <row r="10" spans="1:25" x14ac:dyDescent="0.25">
      <c r="A10" s="18" t="s">
        <v>8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f>0*0.5</f>
        <v>0</v>
      </c>
      <c r="H10" s="19">
        <f t="shared" ref="H10:I10" si="1">0*0.5</f>
        <v>0</v>
      </c>
      <c r="I10" s="19">
        <f t="shared" si="1"/>
        <v>0</v>
      </c>
      <c r="J10" s="19">
        <v>0</v>
      </c>
      <c r="K10" s="19">
        <v>0</v>
      </c>
      <c r="L10" s="19">
        <v>0</v>
      </c>
      <c r="M10" s="99">
        <v>0</v>
      </c>
      <c r="N10" s="6">
        <f>SUM(B10:M10)</f>
        <v>0</v>
      </c>
      <c r="O10" s="98">
        <f>ROUND(69203*0.5,0)</f>
        <v>34602</v>
      </c>
      <c r="P10" s="6">
        <f>N10-O10</f>
        <v>-34602</v>
      </c>
      <c r="Q10" s="100" t="s">
        <v>203</v>
      </c>
      <c r="R10" s="100"/>
      <c r="S10" s="100"/>
      <c r="T10" s="100"/>
      <c r="U10" s="100"/>
      <c r="V10" s="100"/>
      <c r="W10" s="100"/>
      <c r="X10" s="100"/>
      <c r="Y10" s="100"/>
    </row>
    <row r="11" spans="1:25" x14ac:dyDescent="0.25">
      <c r="A11" s="18" t="s">
        <v>135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f>G3*0.4*0</f>
        <v>0</v>
      </c>
      <c r="H11" s="19">
        <f t="shared" ref="H11:I11" si="2">H3*0.4*0</f>
        <v>0</v>
      </c>
      <c r="I11" s="19">
        <f t="shared" si="2"/>
        <v>0</v>
      </c>
      <c r="J11" s="19">
        <v>0</v>
      </c>
      <c r="K11" s="19">
        <v>0</v>
      </c>
      <c r="L11" s="19">
        <v>0</v>
      </c>
      <c r="M11" s="99">
        <v>0</v>
      </c>
      <c r="N11" s="6">
        <f t="shared" ref="N11:N12" si="3">SUM(B11:M11)</f>
        <v>0</v>
      </c>
      <c r="O11" s="98">
        <v>122386</v>
      </c>
      <c r="P11" s="6">
        <f t="shared" ref="P11:P12" si="4">N11-O11</f>
        <v>-122386</v>
      </c>
    </row>
    <row r="12" spans="1:25" ht="15.75" thickBot="1" x14ac:dyDescent="0.3">
      <c r="A12" s="18" t="s">
        <v>134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99">
        <v>0</v>
      </c>
      <c r="N12" s="6">
        <f t="shared" si="3"/>
        <v>0</v>
      </c>
      <c r="O12" s="98">
        <v>6175</v>
      </c>
      <c r="P12" s="6">
        <f t="shared" si="4"/>
        <v>-6175</v>
      </c>
    </row>
    <row r="13" spans="1:25" s="1" customFormat="1" ht="15.75" thickBot="1" x14ac:dyDescent="0.3">
      <c r="A13" s="7" t="s">
        <v>1</v>
      </c>
      <c r="B13" s="11">
        <f t="shared" ref="B13:P13" si="5">SUM(B10:B12)</f>
        <v>0</v>
      </c>
      <c r="C13" s="11">
        <f t="shared" si="5"/>
        <v>0</v>
      </c>
      <c r="D13" s="11">
        <f t="shared" si="5"/>
        <v>0</v>
      </c>
      <c r="E13" s="11">
        <f t="shared" si="5"/>
        <v>0</v>
      </c>
      <c r="F13" s="11">
        <f t="shared" si="5"/>
        <v>0</v>
      </c>
      <c r="G13" s="11">
        <f t="shared" si="5"/>
        <v>0</v>
      </c>
      <c r="H13" s="11">
        <f t="shared" si="5"/>
        <v>0</v>
      </c>
      <c r="I13" s="11">
        <f t="shared" si="5"/>
        <v>0</v>
      </c>
      <c r="J13" s="11">
        <f t="shared" si="5"/>
        <v>0</v>
      </c>
      <c r="K13" s="11">
        <f t="shared" si="5"/>
        <v>0</v>
      </c>
      <c r="L13" s="11">
        <f t="shared" si="5"/>
        <v>0</v>
      </c>
      <c r="M13" s="12">
        <f t="shared" si="5"/>
        <v>0</v>
      </c>
      <c r="N13" s="13">
        <f t="shared" si="5"/>
        <v>0</v>
      </c>
      <c r="O13" s="13">
        <f t="shared" si="5"/>
        <v>163163</v>
      </c>
      <c r="P13" s="13">
        <f t="shared" si="5"/>
        <v>-163163</v>
      </c>
    </row>
    <row r="14" spans="1:25" ht="15.75" thickBot="1" x14ac:dyDescent="0.3"/>
    <row r="15" spans="1:25" s="1" customFormat="1" ht="15.75" thickBot="1" x14ac:dyDescent="0.3">
      <c r="A15" s="24" t="s">
        <v>75</v>
      </c>
      <c r="B15" s="25">
        <f t="shared" ref="B15:P15" si="6">B5-B13</f>
        <v>0</v>
      </c>
      <c r="C15" s="25">
        <f t="shared" si="6"/>
        <v>0</v>
      </c>
      <c r="D15" s="25">
        <f t="shared" si="6"/>
        <v>0</v>
      </c>
      <c r="E15" s="25">
        <f t="shared" si="6"/>
        <v>0</v>
      </c>
      <c r="F15" s="25">
        <f t="shared" si="6"/>
        <v>0</v>
      </c>
      <c r="G15" s="25">
        <f t="shared" si="6"/>
        <v>10000</v>
      </c>
      <c r="H15" s="25">
        <f t="shared" si="6"/>
        <v>10000</v>
      </c>
      <c r="I15" s="25">
        <f t="shared" si="6"/>
        <v>10000</v>
      </c>
      <c r="J15" s="25">
        <f t="shared" si="6"/>
        <v>0</v>
      </c>
      <c r="K15" s="25">
        <f t="shared" si="6"/>
        <v>0</v>
      </c>
      <c r="L15" s="25">
        <f t="shared" si="6"/>
        <v>0</v>
      </c>
      <c r="M15" s="25">
        <f t="shared" si="6"/>
        <v>0</v>
      </c>
      <c r="N15" s="25">
        <f t="shared" si="6"/>
        <v>30000</v>
      </c>
      <c r="O15" s="25">
        <f t="shared" si="6"/>
        <v>-6650</v>
      </c>
      <c r="P15" s="25">
        <f t="shared" si="6"/>
        <v>36650</v>
      </c>
    </row>
    <row r="19" spans="14:16" x14ac:dyDescent="0.25">
      <c r="N19" s="14"/>
      <c r="O19" s="14"/>
      <c r="P19" s="14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1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84"/>
  <sheetViews>
    <sheetView showGridLines="0" rightToLeft="1" zoomScaleNormal="100" workbookViewId="0">
      <selection activeCell="A9" sqref="A9"/>
    </sheetView>
  </sheetViews>
  <sheetFormatPr defaultRowHeight="15" x14ac:dyDescent="0.25"/>
  <cols>
    <col min="1" max="1" width="35.625" customWidth="1"/>
    <col min="2" max="2" width="12.75" customWidth="1"/>
    <col min="3" max="13" width="10.875" bestFit="1" customWidth="1"/>
    <col min="14" max="16" width="12.375" style="1" bestFit="1" customWidth="1"/>
  </cols>
  <sheetData>
    <row r="1" spans="1:16" ht="21.75" customHeight="1" thickBot="1" x14ac:dyDescent="0.3">
      <c r="A1" s="10" t="s">
        <v>140</v>
      </c>
    </row>
    <row r="2" spans="1:16" x14ac:dyDescent="0.25">
      <c r="A2" s="4"/>
      <c r="B2" s="8" t="s">
        <v>63</v>
      </c>
      <c r="C2" s="8" t="s">
        <v>64</v>
      </c>
      <c r="D2" s="8" t="s">
        <v>65</v>
      </c>
      <c r="E2" s="8" t="s">
        <v>66</v>
      </c>
      <c r="F2" s="8" t="s">
        <v>67</v>
      </c>
      <c r="G2" s="8" t="s">
        <v>68</v>
      </c>
      <c r="H2" s="8" t="s">
        <v>69</v>
      </c>
      <c r="I2" s="8" t="s">
        <v>70</v>
      </c>
      <c r="J2" s="8" t="s">
        <v>71</v>
      </c>
      <c r="K2" s="8" t="s">
        <v>72</v>
      </c>
      <c r="L2" s="8" t="s">
        <v>73</v>
      </c>
      <c r="M2" s="9" t="s">
        <v>74</v>
      </c>
      <c r="N2" s="5" t="s">
        <v>233</v>
      </c>
      <c r="O2" s="5" t="s">
        <v>113</v>
      </c>
      <c r="P2" s="5" t="s">
        <v>215</v>
      </c>
    </row>
    <row r="3" spans="1:16" x14ac:dyDescent="0.25">
      <c r="A3" s="4" t="s">
        <v>141</v>
      </c>
      <c r="B3" s="19">
        <v>0</v>
      </c>
      <c r="C3" s="19">
        <v>0</v>
      </c>
      <c r="D3" s="19">
        <v>0</v>
      </c>
      <c r="E3" s="19">
        <v>0</v>
      </c>
      <c r="F3" s="19">
        <v>0</v>
      </c>
      <c r="G3" s="19">
        <v>0</v>
      </c>
      <c r="H3" s="19">
        <v>0</v>
      </c>
      <c r="I3" s="19">
        <v>0</v>
      </c>
      <c r="J3" s="19">
        <v>0</v>
      </c>
      <c r="K3" s="19">
        <v>0</v>
      </c>
      <c r="L3" s="19">
        <v>0</v>
      </c>
      <c r="M3" s="19">
        <v>0</v>
      </c>
      <c r="N3" s="6">
        <f>SUM(B3:M3)</f>
        <v>0</v>
      </c>
      <c r="O3" s="98">
        <v>0</v>
      </c>
      <c r="P3" s="6">
        <f>N3-O3</f>
        <v>0</v>
      </c>
    </row>
    <row r="4" spans="1:16" x14ac:dyDescent="0.25">
      <c r="A4" s="18" t="s">
        <v>142</v>
      </c>
      <c r="B4" s="19">
        <f>ROUND(B78,-2)</f>
        <v>118000</v>
      </c>
      <c r="C4" s="19">
        <f t="shared" ref="C4:M4" si="0">ROUND(C78,-2)</f>
        <v>118000</v>
      </c>
      <c r="D4" s="19">
        <f t="shared" si="0"/>
        <v>118000</v>
      </c>
      <c r="E4" s="19">
        <f t="shared" si="0"/>
        <v>118000</v>
      </c>
      <c r="F4" s="19">
        <f t="shared" si="0"/>
        <v>118000</v>
      </c>
      <c r="G4" s="19">
        <f t="shared" si="0"/>
        <v>118000</v>
      </c>
      <c r="H4" s="19">
        <f t="shared" si="0"/>
        <v>118000</v>
      </c>
      <c r="I4" s="19">
        <f t="shared" si="0"/>
        <v>118000</v>
      </c>
      <c r="J4" s="19">
        <f t="shared" si="0"/>
        <v>118000</v>
      </c>
      <c r="K4" s="19">
        <f t="shared" si="0"/>
        <v>118000</v>
      </c>
      <c r="L4" s="19">
        <f t="shared" si="0"/>
        <v>118000</v>
      </c>
      <c r="M4" s="19">
        <f t="shared" si="0"/>
        <v>118000</v>
      </c>
      <c r="N4" s="6">
        <f>SUM(B4:M4)</f>
        <v>1416000</v>
      </c>
      <c r="O4" s="98">
        <v>1191787</v>
      </c>
      <c r="P4" s="6">
        <f t="shared" ref="P4:P7" si="1">N4-O4</f>
        <v>224213</v>
      </c>
    </row>
    <row r="5" spans="1:16" x14ac:dyDescent="0.25">
      <c r="A5" s="18" t="s">
        <v>106</v>
      </c>
      <c r="B5" s="19">
        <f>ROUND(B60,-2)</f>
        <v>28000</v>
      </c>
      <c r="C5" s="19">
        <f t="shared" ref="C5:M5" si="2">ROUND(C60,-2)</f>
        <v>28000</v>
      </c>
      <c r="D5" s="19">
        <f t="shared" si="2"/>
        <v>28000</v>
      </c>
      <c r="E5" s="19">
        <f t="shared" si="2"/>
        <v>28000</v>
      </c>
      <c r="F5" s="19">
        <f t="shared" si="2"/>
        <v>28000</v>
      </c>
      <c r="G5" s="19">
        <f t="shared" si="2"/>
        <v>28000</v>
      </c>
      <c r="H5" s="19">
        <f t="shared" si="2"/>
        <v>28000</v>
      </c>
      <c r="I5" s="19">
        <f t="shared" si="2"/>
        <v>28000</v>
      </c>
      <c r="J5" s="19">
        <f t="shared" si="2"/>
        <v>28000</v>
      </c>
      <c r="K5" s="19">
        <f t="shared" si="2"/>
        <v>28000</v>
      </c>
      <c r="L5" s="19">
        <f t="shared" si="2"/>
        <v>28000</v>
      </c>
      <c r="M5" s="19">
        <f t="shared" si="2"/>
        <v>28000</v>
      </c>
      <c r="N5" s="6">
        <f t="shared" ref="N5:N7" si="3">SUM(B5:M5)</f>
        <v>336000</v>
      </c>
      <c r="O5" s="98">
        <v>318337</v>
      </c>
      <c r="P5" s="6">
        <f t="shared" si="1"/>
        <v>17663</v>
      </c>
    </row>
    <row r="6" spans="1:16" x14ac:dyDescent="0.25">
      <c r="A6" s="15" t="s">
        <v>146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7">
        <v>0</v>
      </c>
      <c r="N6" s="6">
        <f t="shared" si="3"/>
        <v>0</v>
      </c>
      <c r="O6" s="93">
        <v>0</v>
      </c>
      <c r="P6" s="6">
        <f t="shared" si="1"/>
        <v>0</v>
      </c>
    </row>
    <row r="7" spans="1:16" ht="15.75" thickBot="1" x14ac:dyDescent="0.3">
      <c r="A7" s="43" t="s">
        <v>179</v>
      </c>
      <c r="B7" s="109">
        <v>4500</v>
      </c>
      <c r="C7" s="109">
        <v>4500</v>
      </c>
      <c r="D7" s="109">
        <v>4500</v>
      </c>
      <c r="E7" s="109">
        <v>4500</v>
      </c>
      <c r="F7" s="109">
        <v>4500</v>
      </c>
      <c r="G7" s="109">
        <v>4500</v>
      </c>
      <c r="H7" s="109">
        <v>4500</v>
      </c>
      <c r="I7" s="109">
        <v>4500</v>
      </c>
      <c r="J7" s="109">
        <v>4500</v>
      </c>
      <c r="K7" s="109">
        <v>4500</v>
      </c>
      <c r="L7" s="109">
        <v>4500</v>
      </c>
      <c r="M7" s="109">
        <v>4500</v>
      </c>
      <c r="N7" s="6">
        <f t="shared" si="3"/>
        <v>54000</v>
      </c>
      <c r="O7" s="98">
        <v>38700</v>
      </c>
      <c r="P7" s="6">
        <f t="shared" si="1"/>
        <v>15300</v>
      </c>
    </row>
    <row r="8" spans="1:16" s="1" customFormat="1" ht="15.75" thickBot="1" x14ac:dyDescent="0.3">
      <c r="A8" s="7" t="s">
        <v>0</v>
      </c>
      <c r="B8" s="11">
        <f t="shared" ref="B8:P8" si="4">SUM(B3:B7)</f>
        <v>150500</v>
      </c>
      <c r="C8" s="11">
        <f t="shared" si="4"/>
        <v>150500</v>
      </c>
      <c r="D8" s="11">
        <f t="shared" si="4"/>
        <v>150500</v>
      </c>
      <c r="E8" s="11">
        <f t="shared" si="4"/>
        <v>150500</v>
      </c>
      <c r="F8" s="11">
        <f t="shared" si="4"/>
        <v>150500</v>
      </c>
      <c r="G8" s="11">
        <f t="shared" si="4"/>
        <v>150500</v>
      </c>
      <c r="H8" s="11">
        <f t="shared" si="4"/>
        <v>150500</v>
      </c>
      <c r="I8" s="11">
        <f t="shared" si="4"/>
        <v>150500</v>
      </c>
      <c r="J8" s="11">
        <f t="shared" si="4"/>
        <v>150500</v>
      </c>
      <c r="K8" s="11">
        <f t="shared" si="4"/>
        <v>150500</v>
      </c>
      <c r="L8" s="11">
        <f t="shared" si="4"/>
        <v>150500</v>
      </c>
      <c r="M8" s="11">
        <f t="shared" si="4"/>
        <v>150500</v>
      </c>
      <c r="N8" s="13">
        <f t="shared" si="4"/>
        <v>1806000</v>
      </c>
      <c r="O8" s="13">
        <f t="shared" si="4"/>
        <v>1548824</v>
      </c>
      <c r="P8" s="13">
        <f t="shared" si="4"/>
        <v>257176</v>
      </c>
    </row>
    <row r="11" spans="1:16" ht="21.75" customHeight="1" thickBot="1" x14ac:dyDescent="0.3">
      <c r="A11" s="10" t="s">
        <v>143</v>
      </c>
    </row>
    <row r="12" spans="1:16" x14ac:dyDescent="0.25">
      <c r="B12" s="8" t="s">
        <v>63</v>
      </c>
      <c r="C12" s="8" t="s">
        <v>64</v>
      </c>
      <c r="D12" s="8" t="s">
        <v>65</v>
      </c>
      <c r="E12" s="8" t="s">
        <v>66</v>
      </c>
      <c r="F12" s="8" t="s">
        <v>67</v>
      </c>
      <c r="G12" s="8" t="s">
        <v>68</v>
      </c>
      <c r="H12" s="8" t="s">
        <v>69</v>
      </c>
      <c r="I12" s="8" t="s">
        <v>70</v>
      </c>
      <c r="J12" s="8" t="s">
        <v>71</v>
      </c>
      <c r="K12" s="8" t="s">
        <v>72</v>
      </c>
      <c r="L12" s="8" t="s">
        <v>73</v>
      </c>
      <c r="M12" s="9" t="s">
        <v>74</v>
      </c>
      <c r="N12" s="5" t="str">
        <f>N2</f>
        <v>סה"כ 2018</v>
      </c>
      <c r="O12" s="5" t="str">
        <f>O2</f>
        <v>סה"כ 2017</v>
      </c>
      <c r="P12" s="5" t="s">
        <v>215</v>
      </c>
    </row>
    <row r="13" spans="1:16" x14ac:dyDescent="0.25">
      <c r="A13" s="4" t="s">
        <v>144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6">
        <f>SUM(B13:M13)</f>
        <v>0</v>
      </c>
      <c r="O13" s="98">
        <v>1539</v>
      </c>
      <c r="P13" s="6">
        <f>N13-O13</f>
        <v>-1539</v>
      </c>
    </row>
    <row r="14" spans="1:16" x14ac:dyDescent="0.25">
      <c r="A14" s="18" t="s">
        <v>145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6">
        <f t="shared" ref="N14:N30" si="5">SUM(B14:M14)</f>
        <v>0</v>
      </c>
      <c r="O14" s="98">
        <v>0</v>
      </c>
      <c r="P14" s="6">
        <f t="shared" ref="P14:P30" si="6">N14-O14</f>
        <v>0</v>
      </c>
    </row>
    <row r="15" spans="1:16" x14ac:dyDescent="0.25">
      <c r="A15" s="18" t="s">
        <v>161</v>
      </c>
      <c r="B15" s="19">
        <f>B5*0.6</f>
        <v>16800</v>
      </c>
      <c r="C15" s="19">
        <f t="shared" ref="C15:M15" si="7">C5*0.6</f>
        <v>16800</v>
      </c>
      <c r="D15" s="19">
        <f t="shared" si="7"/>
        <v>16800</v>
      </c>
      <c r="E15" s="19">
        <f t="shared" si="7"/>
        <v>16800</v>
      </c>
      <c r="F15" s="19">
        <f t="shared" si="7"/>
        <v>16800</v>
      </c>
      <c r="G15" s="19">
        <f t="shared" si="7"/>
        <v>16800</v>
      </c>
      <c r="H15" s="19">
        <f t="shared" si="7"/>
        <v>16800</v>
      </c>
      <c r="I15" s="19">
        <f t="shared" si="7"/>
        <v>16800</v>
      </c>
      <c r="J15" s="19">
        <f t="shared" si="7"/>
        <v>16800</v>
      </c>
      <c r="K15" s="19">
        <f t="shared" si="7"/>
        <v>16800</v>
      </c>
      <c r="L15" s="19">
        <f t="shared" si="7"/>
        <v>16800</v>
      </c>
      <c r="M15" s="19">
        <f t="shared" si="7"/>
        <v>16800</v>
      </c>
      <c r="N15" s="6">
        <f t="shared" ref="N15" si="8">SUM(B15:M15)</f>
        <v>201600</v>
      </c>
      <c r="O15" s="19">
        <f>O5*0.6</f>
        <v>191002.19999999998</v>
      </c>
      <c r="P15" s="6">
        <f t="shared" si="6"/>
        <v>10597.800000000017</v>
      </c>
    </row>
    <row r="16" spans="1:16" x14ac:dyDescent="0.25">
      <c r="A16" s="15" t="s">
        <v>147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7"/>
      <c r="N16" s="6">
        <f>SUM(B16:M16)</f>
        <v>0</v>
      </c>
      <c r="O16" s="93"/>
      <c r="P16" s="6">
        <f t="shared" si="6"/>
        <v>0</v>
      </c>
    </row>
    <row r="17" spans="1:20" x14ac:dyDescent="0.25">
      <c r="A17" s="18" t="s">
        <v>180</v>
      </c>
      <c r="B17" s="19">
        <v>1000</v>
      </c>
      <c r="C17" s="19">
        <v>1000</v>
      </c>
      <c r="D17" s="19">
        <v>1000</v>
      </c>
      <c r="E17" s="19">
        <v>1000</v>
      </c>
      <c r="F17" s="19">
        <v>1000</v>
      </c>
      <c r="G17" s="19">
        <v>1000</v>
      </c>
      <c r="H17" s="19">
        <v>1000</v>
      </c>
      <c r="I17" s="19">
        <v>1000</v>
      </c>
      <c r="J17" s="19">
        <v>1000</v>
      </c>
      <c r="K17" s="19">
        <v>1000</v>
      </c>
      <c r="L17" s="19">
        <v>1000</v>
      </c>
      <c r="M17" s="19">
        <v>1000</v>
      </c>
      <c r="N17" s="6">
        <f t="shared" si="5"/>
        <v>12000</v>
      </c>
      <c r="O17" s="98">
        <v>13832</v>
      </c>
      <c r="P17" s="6">
        <f t="shared" si="6"/>
        <v>-1832</v>
      </c>
      <c r="Q17" s="100" t="s">
        <v>248</v>
      </c>
      <c r="R17" s="100"/>
      <c r="S17" s="100"/>
      <c r="T17" s="100"/>
    </row>
    <row r="18" spans="1:20" x14ac:dyDescent="0.25">
      <c r="A18" s="18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7"/>
      <c r="N18" s="6">
        <f>SUM(B18:M18)</f>
        <v>0</v>
      </c>
      <c r="O18" s="93"/>
      <c r="P18" s="6">
        <f t="shared" si="6"/>
        <v>0</v>
      </c>
      <c r="Q18" s="23"/>
      <c r="R18" s="23"/>
      <c r="S18" s="23"/>
      <c r="T18" s="23"/>
    </row>
    <row r="19" spans="1:20" x14ac:dyDescent="0.25">
      <c r="A19" s="18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7"/>
      <c r="N19" s="6">
        <f t="shared" si="5"/>
        <v>0</v>
      </c>
      <c r="O19" s="93"/>
      <c r="P19" s="6">
        <f t="shared" si="6"/>
        <v>0</v>
      </c>
    </row>
    <row r="20" spans="1:20" x14ac:dyDescent="0.25">
      <c r="A20" s="18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7"/>
      <c r="N20" s="6">
        <f t="shared" si="5"/>
        <v>0</v>
      </c>
      <c r="O20" s="93"/>
      <c r="P20" s="6">
        <f t="shared" si="6"/>
        <v>0</v>
      </c>
    </row>
    <row r="21" spans="1:20" x14ac:dyDescent="0.25">
      <c r="A21" s="18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7"/>
      <c r="N21" s="6">
        <f t="shared" si="5"/>
        <v>0</v>
      </c>
      <c r="O21" s="93"/>
      <c r="P21" s="6">
        <f t="shared" si="6"/>
        <v>0</v>
      </c>
    </row>
    <row r="22" spans="1:20" x14ac:dyDescent="0.25">
      <c r="A22" s="18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7"/>
      <c r="N22" s="6">
        <f t="shared" si="5"/>
        <v>0</v>
      </c>
      <c r="O22" s="93"/>
      <c r="P22" s="6">
        <f t="shared" si="6"/>
        <v>0</v>
      </c>
    </row>
    <row r="23" spans="1:20" x14ac:dyDescent="0.25">
      <c r="A23" s="18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7"/>
      <c r="N23" s="6">
        <f t="shared" si="5"/>
        <v>0</v>
      </c>
      <c r="O23" s="93"/>
      <c r="P23" s="6">
        <f t="shared" si="6"/>
        <v>0</v>
      </c>
    </row>
    <row r="24" spans="1:20" x14ac:dyDescent="0.25">
      <c r="A24" s="18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7"/>
      <c r="N24" s="6">
        <f t="shared" si="5"/>
        <v>0</v>
      </c>
      <c r="O24" s="93"/>
      <c r="P24" s="6">
        <f t="shared" si="6"/>
        <v>0</v>
      </c>
    </row>
    <row r="25" spans="1:20" x14ac:dyDescent="0.25">
      <c r="A25" s="18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7"/>
      <c r="N25" s="6">
        <f t="shared" si="5"/>
        <v>0</v>
      </c>
      <c r="O25" s="93"/>
      <c r="P25" s="6">
        <f t="shared" si="6"/>
        <v>0</v>
      </c>
    </row>
    <row r="26" spans="1:20" x14ac:dyDescent="0.25">
      <c r="A26" s="18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7"/>
      <c r="N26" s="6">
        <f t="shared" si="5"/>
        <v>0</v>
      </c>
      <c r="O26" s="93"/>
      <c r="P26" s="6">
        <f t="shared" si="6"/>
        <v>0</v>
      </c>
    </row>
    <row r="27" spans="1:20" x14ac:dyDescent="0.25">
      <c r="A27" s="18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7"/>
      <c r="N27" s="6">
        <f t="shared" si="5"/>
        <v>0</v>
      </c>
      <c r="O27" s="93"/>
      <c r="P27" s="6">
        <f t="shared" si="6"/>
        <v>0</v>
      </c>
    </row>
    <row r="28" spans="1:20" x14ac:dyDescent="0.25">
      <c r="A28" s="18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7"/>
      <c r="N28" s="6">
        <f t="shared" si="5"/>
        <v>0</v>
      </c>
      <c r="O28" s="93"/>
      <c r="P28" s="6">
        <f t="shared" si="6"/>
        <v>0</v>
      </c>
    </row>
    <row r="29" spans="1:20" x14ac:dyDescent="0.25">
      <c r="A29" s="18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6">
        <f t="shared" si="5"/>
        <v>0</v>
      </c>
      <c r="O29" s="93"/>
      <c r="P29" s="6">
        <f t="shared" si="6"/>
        <v>0</v>
      </c>
    </row>
    <row r="30" spans="1:20" ht="15.75" thickBot="1" x14ac:dyDescent="0.3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2"/>
      <c r="N30" s="6">
        <f t="shared" si="5"/>
        <v>0</v>
      </c>
      <c r="O30" s="93"/>
      <c r="P30" s="6">
        <f t="shared" si="6"/>
        <v>0</v>
      </c>
    </row>
    <row r="31" spans="1:20" s="1" customFormat="1" ht="15.75" thickBot="1" x14ac:dyDescent="0.3">
      <c r="A31" s="7" t="s">
        <v>1</v>
      </c>
      <c r="B31" s="11">
        <f t="shared" ref="B31:P31" si="9">SUM(B13:B30)</f>
        <v>17800</v>
      </c>
      <c r="C31" s="11">
        <f t="shared" si="9"/>
        <v>17800</v>
      </c>
      <c r="D31" s="11">
        <f t="shared" si="9"/>
        <v>17800</v>
      </c>
      <c r="E31" s="11">
        <f t="shared" si="9"/>
        <v>17800</v>
      </c>
      <c r="F31" s="11">
        <f t="shared" si="9"/>
        <v>17800</v>
      </c>
      <c r="G31" s="11">
        <f t="shared" si="9"/>
        <v>17800</v>
      </c>
      <c r="H31" s="11">
        <f t="shared" si="9"/>
        <v>17800</v>
      </c>
      <c r="I31" s="11">
        <f t="shared" si="9"/>
        <v>17800</v>
      </c>
      <c r="J31" s="11">
        <f t="shared" si="9"/>
        <v>17800</v>
      </c>
      <c r="K31" s="11">
        <f t="shared" si="9"/>
        <v>17800</v>
      </c>
      <c r="L31" s="11">
        <f t="shared" si="9"/>
        <v>17800</v>
      </c>
      <c r="M31" s="12">
        <f t="shared" si="9"/>
        <v>17800</v>
      </c>
      <c r="N31" s="13">
        <f t="shared" si="9"/>
        <v>213600</v>
      </c>
      <c r="O31" s="13">
        <f t="shared" si="9"/>
        <v>206373.19999999998</v>
      </c>
      <c r="P31" s="13">
        <f t="shared" si="9"/>
        <v>7226.8000000000175</v>
      </c>
    </row>
    <row r="32" spans="1:20" ht="15.75" thickBot="1" x14ac:dyDescent="0.3"/>
    <row r="33" spans="1:16" s="1" customFormat="1" ht="15.75" thickBot="1" x14ac:dyDescent="0.3">
      <c r="A33" s="24" t="s">
        <v>114</v>
      </c>
      <c r="B33" s="25">
        <f t="shared" ref="B33:P33" si="10">B8-B31</f>
        <v>132700</v>
      </c>
      <c r="C33" s="25">
        <f t="shared" si="10"/>
        <v>132700</v>
      </c>
      <c r="D33" s="25">
        <f t="shared" si="10"/>
        <v>132700</v>
      </c>
      <c r="E33" s="25">
        <f t="shared" si="10"/>
        <v>132700</v>
      </c>
      <c r="F33" s="25">
        <f t="shared" si="10"/>
        <v>132700</v>
      </c>
      <c r="G33" s="25">
        <f t="shared" si="10"/>
        <v>132700</v>
      </c>
      <c r="H33" s="25">
        <f t="shared" si="10"/>
        <v>132700</v>
      </c>
      <c r="I33" s="25">
        <f t="shared" si="10"/>
        <v>132700</v>
      </c>
      <c r="J33" s="25">
        <f t="shared" si="10"/>
        <v>132700</v>
      </c>
      <c r="K33" s="25">
        <f t="shared" si="10"/>
        <v>132700</v>
      </c>
      <c r="L33" s="25">
        <f t="shared" si="10"/>
        <v>132700</v>
      </c>
      <c r="M33" s="26">
        <f t="shared" si="10"/>
        <v>132700</v>
      </c>
      <c r="N33" s="27">
        <f t="shared" si="10"/>
        <v>1592400</v>
      </c>
      <c r="O33" s="27">
        <f t="shared" si="10"/>
        <v>1342450.8</v>
      </c>
      <c r="P33" s="27">
        <f t="shared" si="10"/>
        <v>249949.19999999998</v>
      </c>
    </row>
    <row r="35" spans="1:16" x14ac:dyDescent="0.25">
      <c r="N35" s="14"/>
      <c r="O35" s="14"/>
      <c r="P35" s="14"/>
    </row>
    <row r="38" spans="1:16" x14ac:dyDescent="0.25">
      <c r="A38" s="35" t="s">
        <v>149</v>
      </c>
    </row>
    <row r="40" spans="1:16" x14ac:dyDescent="0.25">
      <c r="A40" s="32" t="s">
        <v>148</v>
      </c>
      <c r="B40" s="19">
        <v>6240</v>
      </c>
      <c r="C40" s="19">
        <v>6240</v>
      </c>
      <c r="D40" s="19">
        <v>6240</v>
      </c>
      <c r="E40" s="19">
        <v>6240</v>
      </c>
      <c r="F40" s="19">
        <v>6240</v>
      </c>
      <c r="G40" s="19">
        <v>6240</v>
      </c>
      <c r="H40" s="19">
        <v>6240</v>
      </c>
      <c r="I40" s="19">
        <v>6240</v>
      </c>
      <c r="J40" s="19">
        <v>6240</v>
      </c>
      <c r="K40" s="19">
        <v>6240</v>
      </c>
      <c r="L40" s="19">
        <v>6240</v>
      </c>
      <c r="M40" s="19">
        <v>6240</v>
      </c>
      <c r="N40" s="6">
        <f>SUM(B40:M40)</f>
        <v>74880</v>
      </c>
    </row>
    <row r="41" spans="1:16" x14ac:dyDescent="0.25">
      <c r="A41" s="32" t="s">
        <v>166</v>
      </c>
      <c r="B41" s="19">
        <v>1513</v>
      </c>
      <c r="C41" s="19">
        <v>1513</v>
      </c>
      <c r="D41" s="19">
        <v>1513</v>
      </c>
      <c r="E41" s="19">
        <v>1513</v>
      </c>
      <c r="F41" s="19">
        <v>1513</v>
      </c>
      <c r="G41" s="19">
        <v>1513</v>
      </c>
      <c r="H41" s="19">
        <v>1513</v>
      </c>
      <c r="I41" s="19">
        <v>1513</v>
      </c>
      <c r="J41" s="19">
        <v>1513</v>
      </c>
      <c r="K41" s="19">
        <v>1513</v>
      </c>
      <c r="L41" s="19">
        <v>1513</v>
      </c>
      <c r="M41" s="19">
        <v>1513</v>
      </c>
      <c r="N41" s="6">
        <f t="shared" ref="N41:N60" si="11">SUM(B41:M41)</f>
        <v>18156</v>
      </c>
    </row>
    <row r="42" spans="1:16" x14ac:dyDescent="0.25">
      <c r="A42" s="32" t="s">
        <v>151</v>
      </c>
      <c r="B42" s="19">
        <v>2696</v>
      </c>
      <c r="C42" s="19">
        <v>2696</v>
      </c>
      <c r="D42" s="19">
        <v>2696</v>
      </c>
      <c r="E42" s="19">
        <v>2696</v>
      </c>
      <c r="F42" s="19">
        <v>2696</v>
      </c>
      <c r="G42" s="19">
        <v>2696</v>
      </c>
      <c r="H42" s="19">
        <v>2696</v>
      </c>
      <c r="I42" s="19">
        <v>2696</v>
      </c>
      <c r="J42" s="19">
        <v>2696</v>
      </c>
      <c r="K42" s="19">
        <v>2696</v>
      </c>
      <c r="L42" s="19">
        <v>2696</v>
      </c>
      <c r="M42" s="19">
        <v>2696</v>
      </c>
      <c r="N42" s="6">
        <f t="shared" si="11"/>
        <v>32352</v>
      </c>
    </row>
    <row r="43" spans="1:16" x14ac:dyDescent="0.25">
      <c r="A43" s="32" t="s">
        <v>152</v>
      </c>
      <c r="B43" s="19">
        <v>8000</v>
      </c>
      <c r="C43" s="19">
        <v>8000</v>
      </c>
      <c r="D43" s="19">
        <v>8000</v>
      </c>
      <c r="E43" s="19">
        <v>8000</v>
      </c>
      <c r="F43" s="19">
        <v>8000</v>
      </c>
      <c r="G43" s="19">
        <v>8000</v>
      </c>
      <c r="H43" s="19">
        <v>8000</v>
      </c>
      <c r="I43" s="19">
        <v>8000</v>
      </c>
      <c r="J43" s="19">
        <v>8000</v>
      </c>
      <c r="K43" s="19">
        <v>8000</v>
      </c>
      <c r="L43" s="19">
        <v>8000</v>
      </c>
      <c r="M43" s="19">
        <v>8000</v>
      </c>
      <c r="N43" s="6">
        <f t="shared" si="11"/>
        <v>96000</v>
      </c>
    </row>
    <row r="44" spans="1:16" x14ac:dyDescent="0.25">
      <c r="A44" s="42" t="s">
        <v>153</v>
      </c>
      <c r="B44" s="19">
        <v>300</v>
      </c>
      <c r="C44" s="19">
        <v>300</v>
      </c>
      <c r="D44" s="19">
        <v>300</v>
      </c>
      <c r="E44" s="19">
        <v>300</v>
      </c>
      <c r="F44" s="19">
        <v>300</v>
      </c>
      <c r="G44" s="19">
        <v>300</v>
      </c>
      <c r="H44" s="19">
        <v>300</v>
      </c>
      <c r="I44" s="19">
        <v>300</v>
      </c>
      <c r="J44" s="19">
        <v>300</v>
      </c>
      <c r="K44" s="19">
        <v>300</v>
      </c>
      <c r="L44" s="19">
        <v>300</v>
      </c>
      <c r="M44" s="19">
        <v>300</v>
      </c>
      <c r="N44" s="6">
        <f t="shared" si="11"/>
        <v>3600</v>
      </c>
      <c r="O44" s="1" t="s">
        <v>164</v>
      </c>
    </row>
    <row r="45" spans="1:16" x14ac:dyDescent="0.25">
      <c r="A45" s="42" t="s">
        <v>154</v>
      </c>
      <c r="B45" s="19">
        <v>214</v>
      </c>
      <c r="C45" s="19">
        <v>214</v>
      </c>
      <c r="D45" s="19">
        <v>214</v>
      </c>
      <c r="E45" s="19">
        <v>214</v>
      </c>
      <c r="F45" s="19">
        <v>214</v>
      </c>
      <c r="G45" s="19">
        <v>214</v>
      </c>
      <c r="H45" s="19">
        <v>214</v>
      </c>
      <c r="I45" s="19">
        <v>214</v>
      </c>
      <c r="J45" s="19">
        <v>214</v>
      </c>
      <c r="K45" s="19">
        <v>214</v>
      </c>
      <c r="L45" s="19">
        <v>214</v>
      </c>
      <c r="M45" s="19">
        <v>214</v>
      </c>
      <c r="N45" s="6">
        <f t="shared" si="11"/>
        <v>2568</v>
      </c>
    </row>
    <row r="46" spans="1:16" x14ac:dyDescent="0.25">
      <c r="A46" s="32" t="s">
        <v>159</v>
      </c>
      <c r="B46" s="19">
        <v>604</v>
      </c>
      <c r="C46" s="19">
        <v>604</v>
      </c>
      <c r="D46" s="19">
        <v>604</v>
      </c>
      <c r="E46" s="19">
        <v>604</v>
      </c>
      <c r="F46" s="19">
        <v>604</v>
      </c>
      <c r="G46" s="19">
        <v>604</v>
      </c>
      <c r="H46" s="19">
        <v>604</v>
      </c>
      <c r="I46" s="19">
        <v>604</v>
      </c>
      <c r="J46" s="19">
        <v>604</v>
      </c>
      <c r="K46" s="19">
        <v>604</v>
      </c>
      <c r="L46" s="19">
        <v>604</v>
      </c>
      <c r="M46" s="19">
        <v>604</v>
      </c>
      <c r="N46" s="6">
        <f>SUM(B46:M46)</f>
        <v>7248</v>
      </c>
    </row>
    <row r="47" spans="1:16" x14ac:dyDescent="0.25">
      <c r="A47" s="42" t="s">
        <v>155</v>
      </c>
      <c r="B47" s="19">
        <v>486</v>
      </c>
      <c r="C47" s="19">
        <v>486</v>
      </c>
      <c r="D47" s="19">
        <v>486</v>
      </c>
      <c r="E47" s="19">
        <v>486</v>
      </c>
      <c r="F47" s="19">
        <v>486</v>
      </c>
      <c r="G47" s="19">
        <v>486</v>
      </c>
      <c r="H47" s="19">
        <v>486</v>
      </c>
      <c r="I47" s="19">
        <v>486</v>
      </c>
      <c r="J47" s="19">
        <v>486</v>
      </c>
      <c r="K47" s="19">
        <v>486</v>
      </c>
      <c r="L47" s="19">
        <v>486</v>
      </c>
      <c r="M47" s="19">
        <v>486</v>
      </c>
      <c r="N47" s="6">
        <f t="shared" ref="N47:N58" si="12">SUM(B47:M47)</f>
        <v>5832</v>
      </c>
    </row>
    <row r="48" spans="1:16" x14ac:dyDescent="0.25">
      <c r="A48" s="32" t="s">
        <v>156</v>
      </c>
      <c r="B48" s="19">
        <f>(2187+1895)/12</f>
        <v>340.16666666666669</v>
      </c>
      <c r="C48" s="19">
        <f t="shared" ref="C48:M48" si="13">(2187+1895)/12</f>
        <v>340.16666666666669</v>
      </c>
      <c r="D48" s="19">
        <f t="shared" si="13"/>
        <v>340.16666666666669</v>
      </c>
      <c r="E48" s="19">
        <f t="shared" si="13"/>
        <v>340.16666666666669</v>
      </c>
      <c r="F48" s="19">
        <f t="shared" si="13"/>
        <v>340.16666666666669</v>
      </c>
      <c r="G48" s="19">
        <f t="shared" si="13"/>
        <v>340.16666666666669</v>
      </c>
      <c r="H48" s="19">
        <f t="shared" si="13"/>
        <v>340.16666666666669</v>
      </c>
      <c r="I48" s="19">
        <f t="shared" si="13"/>
        <v>340.16666666666669</v>
      </c>
      <c r="J48" s="19">
        <f t="shared" si="13"/>
        <v>340.16666666666669</v>
      </c>
      <c r="K48" s="19">
        <f t="shared" si="13"/>
        <v>340.16666666666669</v>
      </c>
      <c r="L48" s="19">
        <f t="shared" si="13"/>
        <v>340.16666666666669</v>
      </c>
      <c r="M48" s="19">
        <f t="shared" si="13"/>
        <v>340.16666666666669</v>
      </c>
      <c r="N48" s="6">
        <f t="shared" si="12"/>
        <v>4081.9999999999995</v>
      </c>
    </row>
    <row r="49" spans="1:16" x14ac:dyDescent="0.25">
      <c r="A49" s="42" t="s">
        <v>157</v>
      </c>
      <c r="B49" s="19">
        <f>500*$B$83/29105342.1</f>
        <v>580.73021498689059</v>
      </c>
      <c r="C49" s="19">
        <f t="shared" ref="C49:M49" si="14">500*$B$83/29105342.1</f>
        <v>580.73021498689059</v>
      </c>
      <c r="D49" s="19">
        <f t="shared" si="14"/>
        <v>580.73021498689059</v>
      </c>
      <c r="E49" s="19">
        <f t="shared" si="14"/>
        <v>580.73021498689059</v>
      </c>
      <c r="F49" s="19">
        <f t="shared" si="14"/>
        <v>580.73021498689059</v>
      </c>
      <c r="G49" s="19">
        <f t="shared" si="14"/>
        <v>580.73021498689059</v>
      </c>
      <c r="H49" s="19">
        <f t="shared" si="14"/>
        <v>580.73021498689059</v>
      </c>
      <c r="I49" s="19">
        <f t="shared" si="14"/>
        <v>580.73021498689059</v>
      </c>
      <c r="J49" s="19">
        <f t="shared" si="14"/>
        <v>580.73021498689059</v>
      </c>
      <c r="K49" s="19">
        <f t="shared" si="14"/>
        <v>580.73021498689059</v>
      </c>
      <c r="L49" s="19">
        <f t="shared" si="14"/>
        <v>580.73021498689059</v>
      </c>
      <c r="M49" s="19">
        <f t="shared" si="14"/>
        <v>580.73021498689059</v>
      </c>
      <c r="N49" s="6">
        <f t="shared" si="12"/>
        <v>6968.7625798426852</v>
      </c>
    </row>
    <row r="50" spans="1:16" x14ac:dyDescent="0.25">
      <c r="A50" s="32" t="s">
        <v>287</v>
      </c>
      <c r="B50" s="19">
        <f>500*$B$83/28225082.97</f>
        <v>598.84151954363597</v>
      </c>
      <c r="C50" s="19">
        <f t="shared" ref="C50:M50" si="15">500*$B$83/28225082.97</f>
        <v>598.84151954363597</v>
      </c>
      <c r="D50" s="19">
        <f t="shared" si="15"/>
        <v>598.84151954363597</v>
      </c>
      <c r="E50" s="19">
        <f t="shared" si="15"/>
        <v>598.84151954363597</v>
      </c>
      <c r="F50" s="19">
        <f t="shared" si="15"/>
        <v>598.84151954363597</v>
      </c>
      <c r="G50" s="19">
        <f t="shared" si="15"/>
        <v>598.84151954363597</v>
      </c>
      <c r="H50" s="19">
        <f t="shared" si="15"/>
        <v>598.84151954363597</v>
      </c>
      <c r="I50" s="19">
        <f t="shared" si="15"/>
        <v>598.84151954363597</v>
      </c>
      <c r="J50" s="19">
        <f t="shared" si="15"/>
        <v>598.84151954363597</v>
      </c>
      <c r="K50" s="19">
        <f t="shared" si="15"/>
        <v>598.84151954363597</v>
      </c>
      <c r="L50" s="19">
        <f t="shared" si="15"/>
        <v>598.84151954363597</v>
      </c>
      <c r="M50" s="19">
        <f t="shared" si="15"/>
        <v>598.84151954363597</v>
      </c>
      <c r="N50" s="6">
        <f t="shared" si="12"/>
        <v>7186.0982345236298</v>
      </c>
    </row>
    <row r="51" spans="1:16" x14ac:dyDescent="0.25">
      <c r="A51" s="32" t="s">
        <v>158</v>
      </c>
      <c r="B51" s="19">
        <f>880*$B$83/14006581.94</f>
        <v>2123.8685426203278</v>
      </c>
      <c r="C51" s="19">
        <f t="shared" ref="C51:M51" si="16">880*$B$83/14006581.94</f>
        <v>2123.8685426203278</v>
      </c>
      <c r="D51" s="19">
        <f t="shared" si="16"/>
        <v>2123.8685426203278</v>
      </c>
      <c r="E51" s="19">
        <f t="shared" si="16"/>
        <v>2123.8685426203278</v>
      </c>
      <c r="F51" s="19">
        <f t="shared" si="16"/>
        <v>2123.8685426203278</v>
      </c>
      <c r="G51" s="19">
        <f t="shared" si="16"/>
        <v>2123.8685426203278</v>
      </c>
      <c r="H51" s="19">
        <f t="shared" si="16"/>
        <v>2123.8685426203278</v>
      </c>
      <c r="I51" s="19">
        <f t="shared" si="16"/>
        <v>2123.8685426203278</v>
      </c>
      <c r="J51" s="19">
        <f t="shared" si="16"/>
        <v>2123.8685426203278</v>
      </c>
      <c r="K51" s="19">
        <f t="shared" si="16"/>
        <v>2123.8685426203278</v>
      </c>
      <c r="L51" s="19">
        <f t="shared" si="16"/>
        <v>2123.8685426203278</v>
      </c>
      <c r="M51" s="19">
        <f t="shared" si="16"/>
        <v>2123.8685426203278</v>
      </c>
      <c r="N51" s="6">
        <f t="shared" si="12"/>
        <v>25486.422511443929</v>
      </c>
    </row>
    <row r="52" spans="1:16" x14ac:dyDescent="0.25">
      <c r="A52" s="32" t="s">
        <v>165</v>
      </c>
      <c r="B52" s="19">
        <f>(403*4)/12</f>
        <v>134.33333333333334</v>
      </c>
      <c r="C52" s="19">
        <f t="shared" ref="C52:M52" si="17">(403*4)/12</f>
        <v>134.33333333333334</v>
      </c>
      <c r="D52" s="19">
        <f t="shared" si="17"/>
        <v>134.33333333333334</v>
      </c>
      <c r="E52" s="19">
        <f t="shared" si="17"/>
        <v>134.33333333333334</v>
      </c>
      <c r="F52" s="19">
        <f t="shared" si="17"/>
        <v>134.33333333333334</v>
      </c>
      <c r="G52" s="19">
        <f t="shared" si="17"/>
        <v>134.33333333333334</v>
      </c>
      <c r="H52" s="19">
        <f t="shared" si="17"/>
        <v>134.33333333333334</v>
      </c>
      <c r="I52" s="19">
        <f t="shared" si="17"/>
        <v>134.33333333333334</v>
      </c>
      <c r="J52" s="19">
        <f t="shared" si="17"/>
        <v>134.33333333333334</v>
      </c>
      <c r="K52" s="19">
        <f t="shared" si="17"/>
        <v>134.33333333333334</v>
      </c>
      <c r="L52" s="19">
        <f t="shared" si="17"/>
        <v>134.33333333333334</v>
      </c>
      <c r="M52" s="19">
        <f t="shared" si="17"/>
        <v>134.33333333333334</v>
      </c>
      <c r="N52" s="6">
        <f t="shared" si="12"/>
        <v>1611.9999999999998</v>
      </c>
    </row>
    <row r="53" spans="1:16" x14ac:dyDescent="0.25">
      <c r="A53" s="32" t="s">
        <v>160</v>
      </c>
      <c r="B53" s="19">
        <f>1000*$B$84</f>
        <v>3500</v>
      </c>
      <c r="C53" s="19">
        <f t="shared" ref="C53:M53" si="18">1000*$B$84</f>
        <v>3500</v>
      </c>
      <c r="D53" s="19">
        <f t="shared" si="18"/>
        <v>3500</v>
      </c>
      <c r="E53" s="19">
        <f t="shared" si="18"/>
        <v>3500</v>
      </c>
      <c r="F53" s="19">
        <f t="shared" si="18"/>
        <v>3500</v>
      </c>
      <c r="G53" s="19">
        <f t="shared" si="18"/>
        <v>3500</v>
      </c>
      <c r="H53" s="19">
        <f t="shared" si="18"/>
        <v>3500</v>
      </c>
      <c r="I53" s="19">
        <f t="shared" si="18"/>
        <v>3500</v>
      </c>
      <c r="J53" s="19">
        <f t="shared" si="18"/>
        <v>3500</v>
      </c>
      <c r="K53" s="19">
        <f t="shared" si="18"/>
        <v>3500</v>
      </c>
      <c r="L53" s="19">
        <f t="shared" si="18"/>
        <v>3500</v>
      </c>
      <c r="M53" s="19">
        <f t="shared" si="18"/>
        <v>3500</v>
      </c>
      <c r="N53" s="6">
        <f t="shared" si="12"/>
        <v>42000</v>
      </c>
    </row>
    <row r="54" spans="1:16" x14ac:dyDescent="0.25">
      <c r="A54" s="32" t="s">
        <v>163</v>
      </c>
      <c r="B54" s="19">
        <f>200*$B$84</f>
        <v>700</v>
      </c>
      <c r="C54" s="19">
        <f t="shared" ref="C54:M54" si="19">200*$B$84</f>
        <v>700</v>
      </c>
      <c r="D54" s="19">
        <f t="shared" si="19"/>
        <v>700</v>
      </c>
      <c r="E54" s="19">
        <f t="shared" si="19"/>
        <v>700</v>
      </c>
      <c r="F54" s="19">
        <f t="shared" si="19"/>
        <v>700</v>
      </c>
      <c r="G54" s="19">
        <f t="shared" si="19"/>
        <v>700</v>
      </c>
      <c r="H54" s="19">
        <f t="shared" si="19"/>
        <v>700</v>
      </c>
      <c r="I54" s="19">
        <f t="shared" si="19"/>
        <v>700</v>
      </c>
      <c r="J54" s="19">
        <f t="shared" si="19"/>
        <v>700</v>
      </c>
      <c r="K54" s="19">
        <f t="shared" si="19"/>
        <v>700</v>
      </c>
      <c r="L54" s="19">
        <f t="shared" si="19"/>
        <v>700</v>
      </c>
      <c r="M54" s="19">
        <f t="shared" si="19"/>
        <v>700</v>
      </c>
      <c r="N54" s="6">
        <f t="shared" si="12"/>
        <v>8400</v>
      </c>
    </row>
    <row r="55" spans="1:16" x14ac:dyDescent="0.25">
      <c r="A55" s="32" t="s">
        <v>168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6">
        <f t="shared" si="12"/>
        <v>0</v>
      </c>
    </row>
    <row r="56" spans="1:16" x14ac:dyDescent="0.25">
      <c r="A56" s="32" t="s">
        <v>177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6">
        <f t="shared" si="12"/>
        <v>0</v>
      </c>
    </row>
    <row r="57" spans="1:16" x14ac:dyDescent="0.25">
      <c r="A57" s="32" t="s">
        <v>216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6"/>
    </row>
    <row r="58" spans="1:16" x14ac:dyDescent="0.25">
      <c r="A58" s="32" t="s">
        <v>217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6">
        <f t="shared" si="12"/>
        <v>0</v>
      </c>
    </row>
    <row r="59" spans="1:16" x14ac:dyDescent="0.25">
      <c r="N59" s="6">
        <f t="shared" si="11"/>
        <v>0</v>
      </c>
    </row>
    <row r="60" spans="1:16" x14ac:dyDescent="0.25">
      <c r="A60" s="32" t="s">
        <v>150</v>
      </c>
      <c r="B60" s="33">
        <f t="shared" ref="B60:M60" si="20">SUM(B40:B59)</f>
        <v>28030.940277150854</v>
      </c>
      <c r="C60" s="33">
        <f t="shared" si="20"/>
        <v>28030.940277150854</v>
      </c>
      <c r="D60" s="33">
        <f t="shared" si="20"/>
        <v>28030.940277150854</v>
      </c>
      <c r="E60" s="33">
        <f t="shared" si="20"/>
        <v>28030.940277150854</v>
      </c>
      <c r="F60" s="33">
        <f t="shared" si="20"/>
        <v>28030.940277150854</v>
      </c>
      <c r="G60" s="33">
        <f t="shared" si="20"/>
        <v>28030.940277150854</v>
      </c>
      <c r="H60" s="33">
        <f t="shared" si="20"/>
        <v>28030.940277150854</v>
      </c>
      <c r="I60" s="33">
        <f t="shared" si="20"/>
        <v>28030.940277150854</v>
      </c>
      <c r="J60" s="33">
        <f t="shared" si="20"/>
        <v>28030.940277150854</v>
      </c>
      <c r="K60" s="33">
        <f t="shared" si="20"/>
        <v>28030.940277150854</v>
      </c>
      <c r="L60" s="33">
        <f t="shared" si="20"/>
        <v>28030.940277150854</v>
      </c>
      <c r="M60" s="33">
        <f t="shared" si="20"/>
        <v>28030.940277150854</v>
      </c>
      <c r="N60" s="34">
        <f t="shared" si="11"/>
        <v>336371.28332581022</v>
      </c>
    </row>
    <row r="61" spans="1:16" s="23" customFormat="1" x14ac:dyDescent="0.25">
      <c r="A61" s="38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40"/>
      <c r="O61" s="41"/>
      <c r="P61" s="41"/>
    </row>
    <row r="62" spans="1:16" s="23" customFormat="1" x14ac:dyDescent="0.25">
      <c r="A62" s="3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40"/>
      <c r="O62" s="41"/>
      <c r="P62" s="41"/>
    </row>
    <row r="63" spans="1:16" x14ac:dyDescent="0.25">
      <c r="A63" s="35" t="s">
        <v>167</v>
      </c>
    </row>
    <row r="65" spans="1:16" x14ac:dyDescent="0.25">
      <c r="A65" s="32" t="s">
        <v>169</v>
      </c>
      <c r="B65" s="19">
        <f>ROUND((2353.5*115)/12,0)</f>
        <v>22554</v>
      </c>
      <c r="C65" s="19">
        <f t="shared" ref="C65:M65" si="21">ROUND((2353.5*115)/12,0)</f>
        <v>22554</v>
      </c>
      <c r="D65" s="19">
        <f t="shared" si="21"/>
        <v>22554</v>
      </c>
      <c r="E65" s="19">
        <f t="shared" si="21"/>
        <v>22554</v>
      </c>
      <c r="F65" s="19">
        <f t="shared" si="21"/>
        <v>22554</v>
      </c>
      <c r="G65" s="19">
        <f t="shared" si="21"/>
        <v>22554</v>
      </c>
      <c r="H65" s="19">
        <f t="shared" si="21"/>
        <v>22554</v>
      </c>
      <c r="I65" s="19">
        <f t="shared" si="21"/>
        <v>22554</v>
      </c>
      <c r="J65" s="19">
        <f t="shared" si="21"/>
        <v>22554</v>
      </c>
      <c r="K65" s="19">
        <f t="shared" si="21"/>
        <v>22554</v>
      </c>
      <c r="L65" s="19">
        <f t="shared" si="21"/>
        <v>22554</v>
      </c>
      <c r="M65" s="19">
        <f t="shared" si="21"/>
        <v>22554</v>
      </c>
      <c r="N65" s="6">
        <f>SUM(B65:M65)</f>
        <v>270648</v>
      </c>
      <c r="O65" s="44" t="s">
        <v>170</v>
      </c>
      <c r="P65" s="44"/>
    </row>
    <row r="66" spans="1:16" x14ac:dyDescent="0.25">
      <c r="A66" s="32" t="s">
        <v>282</v>
      </c>
      <c r="B66" s="19">
        <f>ROUND((2050*80)/12,0)</f>
        <v>13667</v>
      </c>
      <c r="C66" s="19">
        <f t="shared" ref="C66:M66" si="22">ROUND((2050*80)/12,0)</f>
        <v>13667</v>
      </c>
      <c r="D66" s="19">
        <f t="shared" si="22"/>
        <v>13667</v>
      </c>
      <c r="E66" s="19">
        <f t="shared" si="22"/>
        <v>13667</v>
      </c>
      <c r="F66" s="19">
        <f t="shared" si="22"/>
        <v>13667</v>
      </c>
      <c r="G66" s="19">
        <f t="shared" si="22"/>
        <v>13667</v>
      </c>
      <c r="H66" s="19">
        <f t="shared" si="22"/>
        <v>13667</v>
      </c>
      <c r="I66" s="19">
        <f t="shared" si="22"/>
        <v>13667</v>
      </c>
      <c r="J66" s="19">
        <f t="shared" si="22"/>
        <v>13667</v>
      </c>
      <c r="K66" s="19">
        <f t="shared" si="22"/>
        <v>13667</v>
      </c>
      <c r="L66" s="19">
        <f t="shared" si="22"/>
        <v>13667</v>
      </c>
      <c r="M66" s="19">
        <f t="shared" si="22"/>
        <v>13667</v>
      </c>
      <c r="N66" s="6">
        <f>SUM(B66:M66)</f>
        <v>164004</v>
      </c>
      <c r="O66" s="44" t="s">
        <v>283</v>
      </c>
      <c r="P66" s="44"/>
    </row>
    <row r="67" spans="1:16" x14ac:dyDescent="0.25">
      <c r="A67" s="4" t="s">
        <v>171</v>
      </c>
      <c r="B67" s="19">
        <f>ROUND(145500/12,0)</f>
        <v>12125</v>
      </c>
      <c r="C67" s="19">
        <f t="shared" ref="C67:M67" si="23">ROUND(145500/12,0)</f>
        <v>12125</v>
      </c>
      <c r="D67" s="19">
        <f t="shared" si="23"/>
        <v>12125</v>
      </c>
      <c r="E67" s="19">
        <f t="shared" si="23"/>
        <v>12125</v>
      </c>
      <c r="F67" s="19">
        <f t="shared" si="23"/>
        <v>12125</v>
      </c>
      <c r="G67" s="19">
        <f t="shared" si="23"/>
        <v>12125</v>
      </c>
      <c r="H67" s="19">
        <f t="shared" si="23"/>
        <v>12125</v>
      </c>
      <c r="I67" s="19">
        <f t="shared" si="23"/>
        <v>12125</v>
      </c>
      <c r="J67" s="19">
        <f t="shared" si="23"/>
        <v>12125</v>
      </c>
      <c r="K67" s="19">
        <f t="shared" si="23"/>
        <v>12125</v>
      </c>
      <c r="L67" s="19">
        <f t="shared" si="23"/>
        <v>12125</v>
      </c>
      <c r="M67" s="19">
        <f t="shared" si="23"/>
        <v>12125</v>
      </c>
      <c r="N67" s="6">
        <f t="shared" ref="N67:N71" si="24">SUM(B67:M67)</f>
        <v>145500</v>
      </c>
    </row>
    <row r="68" spans="1:16" x14ac:dyDescent="0.25">
      <c r="A68" s="4" t="s">
        <v>173</v>
      </c>
      <c r="B68" s="19">
        <f>ROUND((2050*75)/12,0)*0</f>
        <v>0</v>
      </c>
      <c r="C68" s="19">
        <f t="shared" ref="C68:M68" si="25">ROUND((2050*75)/12,0)*0</f>
        <v>0</v>
      </c>
      <c r="D68" s="19">
        <f t="shared" si="25"/>
        <v>0</v>
      </c>
      <c r="E68" s="19">
        <f t="shared" si="25"/>
        <v>0</v>
      </c>
      <c r="F68" s="19">
        <f t="shared" si="25"/>
        <v>0</v>
      </c>
      <c r="G68" s="19">
        <f t="shared" si="25"/>
        <v>0</v>
      </c>
      <c r="H68" s="19">
        <f t="shared" si="25"/>
        <v>0</v>
      </c>
      <c r="I68" s="19">
        <f t="shared" si="25"/>
        <v>0</v>
      </c>
      <c r="J68" s="19">
        <f t="shared" si="25"/>
        <v>0</v>
      </c>
      <c r="K68" s="19">
        <f t="shared" si="25"/>
        <v>0</v>
      </c>
      <c r="L68" s="19">
        <f t="shared" si="25"/>
        <v>0</v>
      </c>
      <c r="M68" s="19">
        <f t="shared" si="25"/>
        <v>0</v>
      </c>
      <c r="N68" s="6">
        <f t="shared" si="24"/>
        <v>0</v>
      </c>
    </row>
    <row r="69" spans="1:16" x14ac:dyDescent="0.25">
      <c r="A69" s="4" t="s">
        <v>175</v>
      </c>
      <c r="B69" s="19">
        <f>ROUND(189001/12,0)</f>
        <v>15750</v>
      </c>
      <c r="C69" s="19">
        <f t="shared" ref="C69:M69" si="26">ROUND(189001/12,0)</f>
        <v>15750</v>
      </c>
      <c r="D69" s="19">
        <f t="shared" si="26"/>
        <v>15750</v>
      </c>
      <c r="E69" s="19">
        <f t="shared" si="26"/>
        <v>15750</v>
      </c>
      <c r="F69" s="19">
        <f t="shared" si="26"/>
        <v>15750</v>
      </c>
      <c r="G69" s="19">
        <f t="shared" si="26"/>
        <v>15750</v>
      </c>
      <c r="H69" s="19">
        <f t="shared" si="26"/>
        <v>15750</v>
      </c>
      <c r="I69" s="19">
        <f t="shared" si="26"/>
        <v>15750</v>
      </c>
      <c r="J69" s="19">
        <f t="shared" si="26"/>
        <v>15750</v>
      </c>
      <c r="K69" s="19">
        <f t="shared" si="26"/>
        <v>15750</v>
      </c>
      <c r="L69" s="19">
        <f t="shared" si="26"/>
        <v>15750</v>
      </c>
      <c r="M69" s="19">
        <f t="shared" si="26"/>
        <v>15750</v>
      </c>
      <c r="N69" s="6">
        <f t="shared" si="24"/>
        <v>189000</v>
      </c>
    </row>
    <row r="70" spans="1:16" x14ac:dyDescent="0.25">
      <c r="A70" s="4" t="s">
        <v>174</v>
      </c>
      <c r="B70" s="19">
        <f>ROUND(25177*18/12,0)</f>
        <v>37766</v>
      </c>
      <c r="C70" s="19">
        <f t="shared" ref="C70:M70" si="27">ROUND(25177*18/12,0)</f>
        <v>37766</v>
      </c>
      <c r="D70" s="19">
        <f t="shared" si="27"/>
        <v>37766</v>
      </c>
      <c r="E70" s="19">
        <f t="shared" si="27"/>
        <v>37766</v>
      </c>
      <c r="F70" s="19">
        <f t="shared" si="27"/>
        <v>37766</v>
      </c>
      <c r="G70" s="19">
        <f t="shared" si="27"/>
        <v>37766</v>
      </c>
      <c r="H70" s="19">
        <f t="shared" si="27"/>
        <v>37766</v>
      </c>
      <c r="I70" s="19">
        <f t="shared" si="27"/>
        <v>37766</v>
      </c>
      <c r="J70" s="19">
        <f t="shared" si="27"/>
        <v>37766</v>
      </c>
      <c r="K70" s="19">
        <f t="shared" si="27"/>
        <v>37766</v>
      </c>
      <c r="L70" s="19">
        <f t="shared" si="27"/>
        <v>37766</v>
      </c>
      <c r="M70" s="19">
        <f t="shared" si="27"/>
        <v>37766</v>
      </c>
      <c r="N70" s="6">
        <f t="shared" si="24"/>
        <v>453192</v>
      </c>
    </row>
    <row r="71" spans="1:16" x14ac:dyDescent="0.25">
      <c r="A71" s="18" t="s">
        <v>176</v>
      </c>
      <c r="B71" s="19">
        <f>ROUND((98000/1.17)/12*(12+12-2)/12,0)</f>
        <v>12797</v>
      </c>
      <c r="C71" s="19">
        <f t="shared" ref="C71:M71" si="28">ROUND((98000/1.17)/12*(12+12-2)/12,0)</f>
        <v>12797</v>
      </c>
      <c r="D71" s="19">
        <f t="shared" si="28"/>
        <v>12797</v>
      </c>
      <c r="E71" s="19">
        <f t="shared" si="28"/>
        <v>12797</v>
      </c>
      <c r="F71" s="19">
        <f t="shared" si="28"/>
        <v>12797</v>
      </c>
      <c r="G71" s="19">
        <f t="shared" si="28"/>
        <v>12797</v>
      </c>
      <c r="H71" s="19">
        <f t="shared" si="28"/>
        <v>12797</v>
      </c>
      <c r="I71" s="19">
        <f t="shared" si="28"/>
        <v>12797</v>
      </c>
      <c r="J71" s="19">
        <f t="shared" si="28"/>
        <v>12797</v>
      </c>
      <c r="K71" s="19">
        <f t="shared" si="28"/>
        <v>12797</v>
      </c>
      <c r="L71" s="19">
        <f t="shared" si="28"/>
        <v>12797</v>
      </c>
      <c r="M71" s="19">
        <f t="shared" si="28"/>
        <v>12797</v>
      </c>
      <c r="N71" s="6">
        <f t="shared" si="24"/>
        <v>153564</v>
      </c>
      <c r="O71" s="44" t="s">
        <v>289</v>
      </c>
    </row>
    <row r="72" spans="1:16" x14ac:dyDescent="0.25">
      <c r="A72" s="32" t="s">
        <v>172</v>
      </c>
      <c r="B72" s="19">
        <f>ROUND(40001/12,0)</f>
        <v>3333</v>
      </c>
      <c r="C72" s="19">
        <f t="shared" ref="C72:M72" si="29">ROUND(40001/12,0)</f>
        <v>3333</v>
      </c>
      <c r="D72" s="19">
        <f t="shared" si="29"/>
        <v>3333</v>
      </c>
      <c r="E72" s="19">
        <f t="shared" si="29"/>
        <v>3333</v>
      </c>
      <c r="F72" s="19">
        <f t="shared" si="29"/>
        <v>3333</v>
      </c>
      <c r="G72" s="19">
        <f t="shared" si="29"/>
        <v>3333</v>
      </c>
      <c r="H72" s="19">
        <f t="shared" si="29"/>
        <v>3333</v>
      </c>
      <c r="I72" s="19">
        <f t="shared" si="29"/>
        <v>3333</v>
      </c>
      <c r="J72" s="19">
        <f t="shared" si="29"/>
        <v>3333</v>
      </c>
      <c r="K72" s="19">
        <f t="shared" si="29"/>
        <v>3333</v>
      </c>
      <c r="L72" s="19">
        <f t="shared" si="29"/>
        <v>3333</v>
      </c>
      <c r="M72" s="19">
        <f t="shared" si="29"/>
        <v>3333</v>
      </c>
      <c r="N72" s="6">
        <f>SUM(B72:M72)</f>
        <v>39996</v>
      </c>
    </row>
    <row r="73" spans="1:16" x14ac:dyDescent="0.25">
      <c r="A73" s="32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6">
        <f t="shared" ref="N73:N77" si="30">SUM(B73:M73)</f>
        <v>0</v>
      </c>
    </row>
    <row r="74" spans="1:16" x14ac:dyDescent="0.25">
      <c r="A74" s="32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6">
        <f t="shared" si="30"/>
        <v>0</v>
      </c>
    </row>
    <row r="75" spans="1:16" x14ac:dyDescent="0.25">
      <c r="A75" s="32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6">
        <f t="shared" si="30"/>
        <v>0</v>
      </c>
    </row>
    <row r="76" spans="1:16" x14ac:dyDescent="0.25">
      <c r="A76" s="32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6">
        <f t="shared" si="30"/>
        <v>0</v>
      </c>
    </row>
    <row r="77" spans="1:16" x14ac:dyDescent="0.25">
      <c r="N77" s="6">
        <f t="shared" si="30"/>
        <v>0</v>
      </c>
    </row>
    <row r="78" spans="1:16" x14ac:dyDescent="0.25">
      <c r="A78" s="32" t="s">
        <v>150</v>
      </c>
      <c r="B78" s="33">
        <f t="shared" ref="B78:M78" si="31">SUM(B65:B77)</f>
        <v>117992</v>
      </c>
      <c r="C78" s="33">
        <f t="shared" si="31"/>
        <v>117992</v>
      </c>
      <c r="D78" s="33">
        <f t="shared" si="31"/>
        <v>117992</v>
      </c>
      <c r="E78" s="33">
        <f t="shared" si="31"/>
        <v>117992</v>
      </c>
      <c r="F78" s="33">
        <f t="shared" si="31"/>
        <v>117992</v>
      </c>
      <c r="G78" s="33">
        <f t="shared" si="31"/>
        <v>117992</v>
      </c>
      <c r="H78" s="33">
        <f t="shared" si="31"/>
        <v>117992</v>
      </c>
      <c r="I78" s="33">
        <f t="shared" si="31"/>
        <v>117992</v>
      </c>
      <c r="J78" s="33">
        <f t="shared" si="31"/>
        <v>117992</v>
      </c>
      <c r="K78" s="33">
        <f t="shared" si="31"/>
        <v>117992</v>
      </c>
      <c r="L78" s="33">
        <f t="shared" si="31"/>
        <v>117992</v>
      </c>
      <c r="M78" s="33">
        <f t="shared" si="31"/>
        <v>117992</v>
      </c>
      <c r="N78" s="34">
        <f>SUM(B78:M78)</f>
        <v>1415904</v>
      </c>
    </row>
    <row r="79" spans="1:16" s="23" customFormat="1" x14ac:dyDescent="0.25">
      <c r="A79" s="38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40"/>
      <c r="O79" s="41"/>
      <c r="P79" s="41"/>
    </row>
    <row r="80" spans="1:16" s="23" customFormat="1" x14ac:dyDescent="0.25">
      <c r="A80" s="38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40"/>
      <c r="O80" s="41"/>
      <c r="P80" s="41"/>
    </row>
    <row r="82" spans="1:2" ht="15.75" thickBot="1" x14ac:dyDescent="0.3"/>
    <row r="83" spans="1:2" x14ac:dyDescent="0.25">
      <c r="A83" s="36" t="s">
        <v>285</v>
      </c>
      <c r="B83" s="126">
        <v>33804703.149999999</v>
      </c>
    </row>
    <row r="84" spans="1:2" ht="15.75" thickBot="1" x14ac:dyDescent="0.3">
      <c r="A84" s="37" t="s">
        <v>162</v>
      </c>
      <c r="B84" s="122">
        <v>3.5</v>
      </c>
    </row>
  </sheetData>
  <pageMargins left="0.70866141732283472" right="0.70866141732283472" top="0.74803149606299213" bottom="0.74803149606299213" header="0.31496062992125984" footer="0.31496062992125984"/>
  <pageSetup paperSize="9" scale="58" fitToWidth="2" orientation="landscape" r:id="rId1"/>
  <rowBreaks count="1" manualBreakCount="1">
    <brk id="37" max="15" man="1"/>
  </rowBreaks>
  <colBreaks count="1" manualBreakCount="1">
    <brk id="16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33"/>
  <sheetViews>
    <sheetView showGridLines="0" rightToLeft="1" zoomScaleNormal="100" workbookViewId="0">
      <selection activeCell="O17" sqref="O17"/>
    </sheetView>
  </sheetViews>
  <sheetFormatPr defaultRowHeight="15" x14ac:dyDescent="0.25"/>
  <cols>
    <col min="1" max="1" width="35.625" customWidth="1"/>
    <col min="2" max="2" width="12.75" customWidth="1"/>
    <col min="3" max="13" width="10.875" bestFit="1" customWidth="1"/>
    <col min="14" max="16" width="12.375" style="1" bestFit="1" customWidth="1"/>
  </cols>
  <sheetData>
    <row r="1" spans="1:22" ht="21.75" customHeight="1" thickBot="1" x14ac:dyDescent="0.3">
      <c r="A1" s="10" t="s">
        <v>204</v>
      </c>
    </row>
    <row r="2" spans="1:22" x14ac:dyDescent="0.25">
      <c r="A2" s="4"/>
      <c r="B2" s="8" t="s">
        <v>63</v>
      </c>
      <c r="C2" s="8" t="s">
        <v>64</v>
      </c>
      <c r="D2" s="8" t="s">
        <v>65</v>
      </c>
      <c r="E2" s="8" t="s">
        <v>66</v>
      </c>
      <c r="F2" s="8" t="s">
        <v>67</v>
      </c>
      <c r="G2" s="8" t="s">
        <v>68</v>
      </c>
      <c r="H2" s="8" t="s">
        <v>69</v>
      </c>
      <c r="I2" s="8" t="s">
        <v>70</v>
      </c>
      <c r="J2" s="8" t="s">
        <v>71</v>
      </c>
      <c r="K2" s="8" t="s">
        <v>72</v>
      </c>
      <c r="L2" s="8" t="s">
        <v>73</v>
      </c>
      <c r="M2" s="9" t="s">
        <v>74</v>
      </c>
      <c r="N2" s="5" t="s">
        <v>233</v>
      </c>
      <c r="O2" s="5" t="s">
        <v>113</v>
      </c>
      <c r="P2" s="5" t="s">
        <v>215</v>
      </c>
    </row>
    <row r="3" spans="1:22" ht="29.25" x14ac:dyDescent="0.25">
      <c r="A3" s="32" t="s">
        <v>194</v>
      </c>
      <c r="B3" s="19">
        <f>ROUND(351864/12,-2)</f>
        <v>29300</v>
      </c>
      <c r="C3" s="19">
        <f t="shared" ref="C3:D3" si="0">ROUND(351864/12,-2)</f>
        <v>29300</v>
      </c>
      <c r="D3" s="19">
        <f t="shared" si="0"/>
        <v>29300</v>
      </c>
      <c r="E3" s="19">
        <f>8000*3.5</f>
        <v>28000</v>
      </c>
      <c r="F3" s="19">
        <f t="shared" ref="F3:M3" si="1">8000*3.5</f>
        <v>28000</v>
      </c>
      <c r="G3" s="19">
        <f t="shared" si="1"/>
        <v>28000</v>
      </c>
      <c r="H3" s="19">
        <f t="shared" si="1"/>
        <v>28000</v>
      </c>
      <c r="I3" s="19">
        <f t="shared" si="1"/>
        <v>28000</v>
      </c>
      <c r="J3" s="19">
        <f t="shared" si="1"/>
        <v>28000</v>
      </c>
      <c r="K3" s="19">
        <f t="shared" si="1"/>
        <v>28000</v>
      </c>
      <c r="L3" s="19">
        <f t="shared" si="1"/>
        <v>28000</v>
      </c>
      <c r="M3" s="19">
        <f t="shared" si="1"/>
        <v>28000</v>
      </c>
      <c r="N3" s="6">
        <f t="shared" ref="N3:N4" si="2">SUM(B3:M3)</f>
        <v>339900</v>
      </c>
      <c r="O3" s="98">
        <f>442284-87966</f>
        <v>354318</v>
      </c>
      <c r="P3" s="6">
        <f>N3-O3</f>
        <v>-14418</v>
      </c>
      <c r="Q3" s="100" t="s">
        <v>251</v>
      </c>
      <c r="R3" s="100"/>
      <c r="S3" s="100"/>
      <c r="T3" s="23"/>
      <c r="U3" s="23"/>
      <c r="V3" s="23"/>
    </row>
    <row r="4" spans="1:22" ht="29.25" x14ac:dyDescent="0.25">
      <c r="A4" s="32" t="s">
        <v>196</v>
      </c>
      <c r="B4" s="19">
        <v>0</v>
      </c>
      <c r="C4" s="19">
        <v>0</v>
      </c>
      <c r="D4" s="19">
        <f>150*66</f>
        <v>9900</v>
      </c>
      <c r="E4" s="19">
        <f t="shared" ref="E4:M4" si="3">150*66</f>
        <v>9900</v>
      </c>
      <c r="F4" s="19">
        <f t="shared" si="3"/>
        <v>9900</v>
      </c>
      <c r="G4" s="19">
        <f t="shared" si="3"/>
        <v>9900</v>
      </c>
      <c r="H4" s="19">
        <f t="shared" si="3"/>
        <v>9900</v>
      </c>
      <c r="I4" s="19">
        <f t="shared" si="3"/>
        <v>9900</v>
      </c>
      <c r="J4" s="19">
        <f t="shared" si="3"/>
        <v>9900</v>
      </c>
      <c r="K4" s="19">
        <f t="shared" si="3"/>
        <v>9900</v>
      </c>
      <c r="L4" s="19">
        <f t="shared" si="3"/>
        <v>9900</v>
      </c>
      <c r="M4" s="19">
        <f t="shared" si="3"/>
        <v>9900</v>
      </c>
      <c r="N4" s="6">
        <f t="shared" si="2"/>
        <v>99000</v>
      </c>
      <c r="O4" s="98">
        <v>0</v>
      </c>
      <c r="P4" s="6">
        <f t="shared" ref="P4:P6" si="4">N4-O4</f>
        <v>99000</v>
      </c>
      <c r="Q4" s="100" t="s">
        <v>252</v>
      </c>
      <c r="R4" s="100"/>
      <c r="S4" s="100"/>
      <c r="T4" s="100"/>
      <c r="U4" s="100"/>
    </row>
    <row r="5" spans="1:22" x14ac:dyDescent="0.25">
      <c r="A5" s="18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  <c r="N5" s="6"/>
      <c r="O5" s="93"/>
      <c r="P5" s="6">
        <f t="shared" si="4"/>
        <v>0</v>
      </c>
    </row>
    <row r="6" spans="1:22" ht="15.75" thickBot="1" x14ac:dyDescent="0.3">
      <c r="A6" s="43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6"/>
      <c r="O6" s="93"/>
      <c r="P6" s="6">
        <f t="shared" si="4"/>
        <v>0</v>
      </c>
    </row>
    <row r="7" spans="1:22" s="1" customFormat="1" ht="15.75" thickBot="1" x14ac:dyDescent="0.3">
      <c r="A7" s="7" t="s">
        <v>0</v>
      </c>
      <c r="B7" s="11">
        <f t="shared" ref="B7:P7" si="5">SUM(B3:B6)</f>
        <v>29300</v>
      </c>
      <c r="C7" s="11">
        <f t="shared" si="5"/>
        <v>29300</v>
      </c>
      <c r="D7" s="11">
        <f t="shared" si="5"/>
        <v>39200</v>
      </c>
      <c r="E7" s="11">
        <f t="shared" si="5"/>
        <v>37900</v>
      </c>
      <c r="F7" s="11">
        <f t="shared" si="5"/>
        <v>37900</v>
      </c>
      <c r="G7" s="11">
        <f t="shared" si="5"/>
        <v>37900</v>
      </c>
      <c r="H7" s="11">
        <f t="shared" si="5"/>
        <v>37900</v>
      </c>
      <c r="I7" s="11">
        <f t="shared" si="5"/>
        <v>37900</v>
      </c>
      <c r="J7" s="11">
        <f t="shared" si="5"/>
        <v>37900</v>
      </c>
      <c r="K7" s="11">
        <f t="shared" si="5"/>
        <v>37900</v>
      </c>
      <c r="L7" s="11">
        <f t="shared" si="5"/>
        <v>37900</v>
      </c>
      <c r="M7" s="11">
        <f t="shared" si="5"/>
        <v>37900</v>
      </c>
      <c r="N7" s="13">
        <f t="shared" si="5"/>
        <v>438900</v>
      </c>
      <c r="O7" s="13">
        <f t="shared" si="5"/>
        <v>354318</v>
      </c>
      <c r="P7" s="13">
        <f t="shared" si="5"/>
        <v>84582</v>
      </c>
    </row>
    <row r="10" spans="1:22" ht="21.75" customHeight="1" thickBot="1" x14ac:dyDescent="0.3">
      <c r="A10" s="10" t="s">
        <v>205</v>
      </c>
    </row>
    <row r="11" spans="1:22" x14ac:dyDescent="0.25">
      <c r="B11" s="8" t="s">
        <v>63</v>
      </c>
      <c r="C11" s="8" t="s">
        <v>64</v>
      </c>
      <c r="D11" s="8" t="s">
        <v>65</v>
      </c>
      <c r="E11" s="8" t="s">
        <v>66</v>
      </c>
      <c r="F11" s="8" t="s">
        <v>67</v>
      </c>
      <c r="G11" s="8" t="s">
        <v>68</v>
      </c>
      <c r="H11" s="8" t="s">
        <v>69</v>
      </c>
      <c r="I11" s="8" t="s">
        <v>70</v>
      </c>
      <c r="J11" s="8" t="s">
        <v>71</v>
      </c>
      <c r="K11" s="8" t="s">
        <v>72</v>
      </c>
      <c r="L11" s="8" t="s">
        <v>73</v>
      </c>
      <c r="M11" s="9" t="s">
        <v>74</v>
      </c>
      <c r="N11" s="5" t="str">
        <f>N2</f>
        <v>סה"כ 2018</v>
      </c>
      <c r="O11" s="5" t="str">
        <f>O2</f>
        <v>סה"כ 2017</v>
      </c>
      <c r="P11" s="5" t="s">
        <v>215</v>
      </c>
    </row>
    <row r="12" spans="1:22" ht="29.25" x14ac:dyDescent="0.25">
      <c r="A12" s="32" t="s">
        <v>193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7"/>
      <c r="N12" s="6">
        <f t="shared" ref="N12:N28" si="6">SUM(B12:M12)</f>
        <v>0</v>
      </c>
      <c r="O12" s="98">
        <v>0</v>
      </c>
      <c r="P12" s="6">
        <f>N12-O12</f>
        <v>0</v>
      </c>
    </row>
    <row r="13" spans="1:22" ht="29.25" x14ac:dyDescent="0.25">
      <c r="A13" s="32" t="s">
        <v>195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7"/>
      <c r="N13" s="6">
        <f t="shared" si="6"/>
        <v>0</v>
      </c>
      <c r="O13" s="98">
        <v>0</v>
      </c>
      <c r="P13" s="6">
        <f t="shared" ref="P13:P28" si="7">N13-O13</f>
        <v>0</v>
      </c>
    </row>
    <row r="14" spans="1:22" x14ac:dyDescent="0.25">
      <c r="A14" s="32" t="s">
        <v>253</v>
      </c>
      <c r="B14" s="19">
        <v>600</v>
      </c>
      <c r="C14" s="19">
        <v>600</v>
      </c>
      <c r="D14" s="19">
        <v>600</v>
      </c>
      <c r="E14" s="19">
        <v>600</v>
      </c>
      <c r="F14" s="19">
        <v>600</v>
      </c>
      <c r="G14" s="19">
        <v>600</v>
      </c>
      <c r="H14" s="19">
        <v>600</v>
      </c>
      <c r="I14" s="19">
        <v>600</v>
      </c>
      <c r="J14" s="19">
        <v>600</v>
      </c>
      <c r="K14" s="19">
        <v>600</v>
      </c>
      <c r="L14" s="19">
        <v>600</v>
      </c>
      <c r="M14" s="19">
        <v>600</v>
      </c>
      <c r="N14" s="6">
        <f t="shared" si="6"/>
        <v>7200</v>
      </c>
      <c r="O14" s="98">
        <v>4369</v>
      </c>
      <c r="P14" s="6">
        <f t="shared" si="7"/>
        <v>2831</v>
      </c>
    </row>
    <row r="15" spans="1:22" x14ac:dyDescent="0.25">
      <c r="A15" s="18" t="s">
        <v>254</v>
      </c>
      <c r="B15" s="19">
        <v>2500</v>
      </c>
      <c r="C15" s="19">
        <v>2500</v>
      </c>
      <c r="D15" s="19">
        <v>2500</v>
      </c>
      <c r="E15" s="19">
        <v>2500</v>
      </c>
      <c r="F15" s="19">
        <v>2500</v>
      </c>
      <c r="G15" s="19">
        <v>2500</v>
      </c>
      <c r="H15" s="19">
        <v>2500</v>
      </c>
      <c r="I15" s="19">
        <v>2500</v>
      </c>
      <c r="J15" s="19">
        <v>2500</v>
      </c>
      <c r="K15" s="19">
        <v>2500</v>
      </c>
      <c r="L15" s="19">
        <v>2500</v>
      </c>
      <c r="M15" s="19">
        <v>2500</v>
      </c>
      <c r="N15" s="6">
        <f>SUM(B15:M15)</f>
        <v>30000</v>
      </c>
      <c r="O15" s="98">
        <f>17782+2500+2500+2500</f>
        <v>25282</v>
      </c>
      <c r="P15" s="6">
        <f t="shared" si="7"/>
        <v>4718</v>
      </c>
    </row>
    <row r="16" spans="1:22" x14ac:dyDescent="0.25">
      <c r="A16" s="18" t="s">
        <v>262</v>
      </c>
      <c r="B16" s="19">
        <f>ROUND(450000/12,-2)</f>
        <v>37500</v>
      </c>
      <c r="C16" s="19">
        <f t="shared" ref="C16:L16" si="8">ROUND(450000/12,-2)</f>
        <v>37500</v>
      </c>
      <c r="D16" s="19">
        <f t="shared" si="8"/>
        <v>37500</v>
      </c>
      <c r="E16" s="19">
        <f t="shared" si="8"/>
        <v>37500</v>
      </c>
      <c r="F16" s="19">
        <f t="shared" si="8"/>
        <v>37500</v>
      </c>
      <c r="G16" s="19">
        <f t="shared" si="8"/>
        <v>37500</v>
      </c>
      <c r="H16" s="19">
        <f t="shared" si="8"/>
        <v>37500</v>
      </c>
      <c r="I16" s="19">
        <f t="shared" si="8"/>
        <v>37500</v>
      </c>
      <c r="J16" s="19">
        <f t="shared" si="8"/>
        <v>37500</v>
      </c>
      <c r="K16" s="19">
        <f t="shared" si="8"/>
        <v>37500</v>
      </c>
      <c r="L16" s="19">
        <f t="shared" si="8"/>
        <v>37500</v>
      </c>
      <c r="M16" s="19">
        <f>ROUND(450000/12,-2)</f>
        <v>37500</v>
      </c>
      <c r="N16" s="6">
        <f>SUM(B16:M16)</f>
        <v>450000</v>
      </c>
      <c r="O16" s="98">
        <v>0</v>
      </c>
      <c r="P16" s="6">
        <f t="shared" si="7"/>
        <v>450000</v>
      </c>
      <c r="Q16" s="23"/>
      <c r="R16" s="23"/>
      <c r="S16" s="23"/>
      <c r="T16" s="23"/>
    </row>
    <row r="17" spans="1:16" x14ac:dyDescent="0.25">
      <c r="A17" s="18" t="s">
        <v>119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50"/>
      <c r="N17" s="6">
        <f t="shared" si="6"/>
        <v>0</v>
      </c>
      <c r="O17" s="98">
        <v>31872</v>
      </c>
      <c r="P17" s="6">
        <f t="shared" si="7"/>
        <v>-31872</v>
      </c>
    </row>
    <row r="18" spans="1:16" x14ac:dyDescent="0.25">
      <c r="A18" s="18" t="s">
        <v>302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50"/>
      <c r="N18" s="6">
        <f t="shared" si="6"/>
        <v>0</v>
      </c>
      <c r="O18" s="98">
        <f>300+2591</f>
        <v>2891</v>
      </c>
      <c r="P18" s="6">
        <f t="shared" si="7"/>
        <v>-2891</v>
      </c>
    </row>
    <row r="19" spans="1:16" x14ac:dyDescent="0.25">
      <c r="A19" s="18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50"/>
      <c r="N19" s="6">
        <f t="shared" si="6"/>
        <v>0</v>
      </c>
      <c r="O19" s="93"/>
      <c r="P19" s="6">
        <f t="shared" si="7"/>
        <v>0</v>
      </c>
    </row>
    <row r="20" spans="1:16" x14ac:dyDescent="0.25">
      <c r="A20" s="18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50"/>
      <c r="N20" s="6">
        <f t="shared" si="6"/>
        <v>0</v>
      </c>
      <c r="O20" s="93"/>
      <c r="P20" s="6">
        <f t="shared" si="7"/>
        <v>0</v>
      </c>
    </row>
    <row r="21" spans="1:16" x14ac:dyDescent="0.25">
      <c r="A21" s="1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50"/>
      <c r="N21" s="6">
        <f t="shared" si="6"/>
        <v>0</v>
      </c>
      <c r="O21" s="93"/>
      <c r="P21" s="6">
        <f t="shared" si="7"/>
        <v>0</v>
      </c>
    </row>
    <row r="22" spans="1:16" x14ac:dyDescent="0.25">
      <c r="A22" s="1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50"/>
      <c r="N22" s="6">
        <f t="shared" si="6"/>
        <v>0</v>
      </c>
      <c r="O22" s="93"/>
      <c r="P22" s="6">
        <f t="shared" si="7"/>
        <v>0</v>
      </c>
    </row>
    <row r="23" spans="1:16" x14ac:dyDescent="0.25">
      <c r="A23" s="18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50"/>
      <c r="N23" s="6">
        <f t="shared" si="6"/>
        <v>0</v>
      </c>
      <c r="O23" s="93"/>
      <c r="P23" s="6">
        <f t="shared" si="7"/>
        <v>0</v>
      </c>
    </row>
    <row r="24" spans="1:16" x14ac:dyDescent="0.25">
      <c r="A24" s="18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50"/>
      <c r="N24" s="6">
        <f t="shared" si="6"/>
        <v>0</v>
      </c>
      <c r="O24" s="93"/>
      <c r="P24" s="6">
        <f t="shared" si="7"/>
        <v>0</v>
      </c>
    </row>
    <row r="25" spans="1:16" x14ac:dyDescent="0.25">
      <c r="A25" s="1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50"/>
      <c r="N25" s="6">
        <f t="shared" si="6"/>
        <v>0</v>
      </c>
      <c r="O25" s="93"/>
      <c r="P25" s="6">
        <f t="shared" si="7"/>
        <v>0</v>
      </c>
    </row>
    <row r="26" spans="1:16" x14ac:dyDescent="0.25">
      <c r="A26" s="18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50"/>
      <c r="N26" s="6">
        <f t="shared" si="6"/>
        <v>0</v>
      </c>
      <c r="O26" s="93"/>
      <c r="P26" s="6">
        <f t="shared" si="7"/>
        <v>0</v>
      </c>
    </row>
    <row r="27" spans="1:16" x14ac:dyDescent="0.25">
      <c r="A27" s="18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6">
        <f t="shared" si="6"/>
        <v>0</v>
      </c>
      <c r="O27" s="93"/>
      <c r="P27" s="6">
        <f t="shared" si="7"/>
        <v>0</v>
      </c>
    </row>
    <row r="28" spans="1:16" ht="15.75" thickBot="1" x14ac:dyDescent="0.3">
      <c r="A28" s="20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2"/>
      <c r="N28" s="6">
        <f t="shared" si="6"/>
        <v>0</v>
      </c>
      <c r="O28" s="93"/>
      <c r="P28" s="6">
        <f t="shared" si="7"/>
        <v>0</v>
      </c>
    </row>
    <row r="29" spans="1:16" s="1" customFormat="1" ht="15.75" thickBot="1" x14ac:dyDescent="0.3">
      <c r="A29" s="7" t="s">
        <v>1</v>
      </c>
      <c r="B29" s="11">
        <f t="shared" ref="B29:P29" si="9">SUM(B12:B28)</f>
        <v>40600</v>
      </c>
      <c r="C29" s="11">
        <f t="shared" si="9"/>
        <v>40600</v>
      </c>
      <c r="D29" s="11">
        <f t="shared" si="9"/>
        <v>40600</v>
      </c>
      <c r="E29" s="11">
        <f t="shared" si="9"/>
        <v>40600</v>
      </c>
      <c r="F29" s="11">
        <f t="shared" si="9"/>
        <v>40600</v>
      </c>
      <c r="G29" s="11">
        <f t="shared" si="9"/>
        <v>40600</v>
      </c>
      <c r="H29" s="11">
        <f t="shared" si="9"/>
        <v>40600</v>
      </c>
      <c r="I29" s="11">
        <f t="shared" si="9"/>
        <v>40600</v>
      </c>
      <c r="J29" s="11">
        <f t="shared" si="9"/>
        <v>40600</v>
      </c>
      <c r="K29" s="11">
        <f t="shared" si="9"/>
        <v>40600</v>
      </c>
      <c r="L29" s="11">
        <f t="shared" si="9"/>
        <v>40600</v>
      </c>
      <c r="M29" s="12">
        <f t="shared" si="9"/>
        <v>40600</v>
      </c>
      <c r="N29" s="13">
        <f t="shared" si="9"/>
        <v>487200</v>
      </c>
      <c r="O29" s="13">
        <f t="shared" si="9"/>
        <v>64414</v>
      </c>
      <c r="P29" s="13">
        <f t="shared" si="9"/>
        <v>422786</v>
      </c>
    </row>
    <row r="30" spans="1:16" ht="15.75" thickBot="1" x14ac:dyDescent="0.3"/>
    <row r="31" spans="1:16" s="1" customFormat="1" ht="15.75" thickBot="1" x14ac:dyDescent="0.3">
      <c r="A31" s="24" t="s">
        <v>114</v>
      </c>
      <c r="B31" s="25">
        <f t="shared" ref="B31:N31" si="10">B7-B29</f>
        <v>-11300</v>
      </c>
      <c r="C31" s="25">
        <f t="shared" si="10"/>
        <v>-11300</v>
      </c>
      <c r="D31" s="25">
        <f t="shared" si="10"/>
        <v>-1400</v>
      </c>
      <c r="E31" s="25">
        <f t="shared" si="10"/>
        <v>-2700</v>
      </c>
      <c r="F31" s="25">
        <f t="shared" si="10"/>
        <v>-2700</v>
      </c>
      <c r="G31" s="25">
        <f t="shared" si="10"/>
        <v>-2700</v>
      </c>
      <c r="H31" s="25">
        <f t="shared" si="10"/>
        <v>-2700</v>
      </c>
      <c r="I31" s="25">
        <f t="shared" si="10"/>
        <v>-2700</v>
      </c>
      <c r="J31" s="25">
        <f t="shared" si="10"/>
        <v>-2700</v>
      </c>
      <c r="K31" s="25">
        <f t="shared" si="10"/>
        <v>-2700</v>
      </c>
      <c r="L31" s="25">
        <f t="shared" si="10"/>
        <v>-2700</v>
      </c>
      <c r="M31" s="26">
        <f t="shared" si="10"/>
        <v>-2700</v>
      </c>
      <c r="N31" s="27">
        <f t="shared" si="10"/>
        <v>-48300</v>
      </c>
      <c r="O31" s="27">
        <f>O7-O29</f>
        <v>289904</v>
      </c>
      <c r="P31" s="27">
        <f>P7-P29</f>
        <v>-338204</v>
      </c>
    </row>
    <row r="33" spans="14:16" x14ac:dyDescent="0.25">
      <c r="N33" s="14"/>
      <c r="O33" s="14"/>
      <c r="P33" s="14"/>
    </row>
  </sheetData>
  <pageMargins left="0.70866141732283472" right="0.70866141732283472" top="0.74803149606299213" bottom="0.74803149606299213" header="0.31496062992125984" footer="0.31496062992125984"/>
  <pageSetup paperSize="9" scale="58" orientation="landscape" r:id="rId1"/>
  <colBreaks count="1" manualBreakCount="1">
    <brk id="16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32"/>
  <sheetViews>
    <sheetView showGridLines="0" rightToLeft="1" zoomScaleNormal="100" workbookViewId="0">
      <selection activeCell="B12" sqref="B12"/>
    </sheetView>
  </sheetViews>
  <sheetFormatPr defaultRowHeight="15" x14ac:dyDescent="0.25"/>
  <cols>
    <col min="1" max="1" width="35.625" customWidth="1"/>
    <col min="2" max="2" width="12.75" customWidth="1"/>
    <col min="3" max="13" width="10.875" bestFit="1" customWidth="1"/>
    <col min="14" max="16" width="12.375" style="1" bestFit="1" customWidth="1"/>
  </cols>
  <sheetData>
    <row r="1" spans="1:22" ht="21.75" customHeight="1" thickBot="1" x14ac:dyDescent="0.3">
      <c r="A1" s="10" t="s">
        <v>236</v>
      </c>
    </row>
    <row r="2" spans="1:22" x14ac:dyDescent="0.25">
      <c r="A2" s="4"/>
      <c r="B2" s="8" t="s">
        <v>63</v>
      </c>
      <c r="C2" s="8" t="s">
        <v>64</v>
      </c>
      <c r="D2" s="8" t="s">
        <v>65</v>
      </c>
      <c r="E2" s="8" t="s">
        <v>66</v>
      </c>
      <c r="F2" s="8" t="s">
        <v>67</v>
      </c>
      <c r="G2" s="8" t="s">
        <v>68</v>
      </c>
      <c r="H2" s="8" t="s">
        <v>69</v>
      </c>
      <c r="I2" s="8" t="s">
        <v>70</v>
      </c>
      <c r="J2" s="8" t="s">
        <v>71</v>
      </c>
      <c r="K2" s="8" t="s">
        <v>72</v>
      </c>
      <c r="L2" s="8" t="s">
        <v>73</v>
      </c>
      <c r="M2" s="9" t="s">
        <v>74</v>
      </c>
      <c r="N2" s="5" t="s">
        <v>233</v>
      </c>
      <c r="O2" s="5" t="s">
        <v>113</v>
      </c>
      <c r="P2" s="5" t="s">
        <v>215</v>
      </c>
    </row>
    <row r="3" spans="1:22" ht="29.25" x14ac:dyDescent="0.25">
      <c r="A3" s="32" t="s">
        <v>237</v>
      </c>
      <c r="B3" s="19">
        <f t="shared" ref="B3:D3" si="0">421*25*0</f>
        <v>0</v>
      </c>
      <c r="C3" s="19">
        <f t="shared" si="0"/>
        <v>0</v>
      </c>
      <c r="D3" s="19">
        <f t="shared" si="0"/>
        <v>0</v>
      </c>
      <c r="E3" s="19">
        <f>421*25*0</f>
        <v>0</v>
      </c>
      <c r="F3" s="19">
        <f>421*25</f>
        <v>10525</v>
      </c>
      <c r="G3" s="19">
        <f t="shared" ref="G3:M3" si="1">421*25</f>
        <v>10525</v>
      </c>
      <c r="H3" s="19">
        <f t="shared" si="1"/>
        <v>10525</v>
      </c>
      <c r="I3" s="19">
        <f t="shared" si="1"/>
        <v>10525</v>
      </c>
      <c r="J3" s="19">
        <f t="shared" si="1"/>
        <v>10525</v>
      </c>
      <c r="K3" s="19">
        <f t="shared" si="1"/>
        <v>10525</v>
      </c>
      <c r="L3" s="19">
        <f t="shared" si="1"/>
        <v>10525</v>
      </c>
      <c r="M3" s="19">
        <f t="shared" si="1"/>
        <v>10525</v>
      </c>
      <c r="N3" s="6">
        <f t="shared" ref="N3:N4" si="2">SUM(B3:M3)</f>
        <v>84200</v>
      </c>
      <c r="O3" s="98">
        <v>0</v>
      </c>
      <c r="P3" s="6">
        <f>N3-O3</f>
        <v>84200</v>
      </c>
      <c r="Q3" s="100" t="s">
        <v>239</v>
      </c>
      <c r="R3" s="100"/>
      <c r="S3" s="100"/>
      <c r="T3" s="100"/>
      <c r="U3" s="100"/>
      <c r="V3" s="100"/>
    </row>
    <row r="4" spans="1:22" ht="29.25" x14ac:dyDescent="0.25">
      <c r="A4" s="32" t="s">
        <v>238</v>
      </c>
      <c r="B4" s="19">
        <v>0</v>
      </c>
      <c r="C4" s="19">
        <v>0</v>
      </c>
      <c r="D4" s="19">
        <v>0</v>
      </c>
      <c r="E4" s="19">
        <v>0</v>
      </c>
      <c r="F4" s="19">
        <v>0</v>
      </c>
      <c r="G4" s="19">
        <v>0</v>
      </c>
      <c r="H4" s="19">
        <v>0</v>
      </c>
      <c r="I4" s="19">
        <v>0</v>
      </c>
      <c r="J4" s="19">
        <v>0</v>
      </c>
      <c r="K4" s="19">
        <v>0</v>
      </c>
      <c r="L4" s="19">
        <v>0</v>
      </c>
      <c r="M4" s="19">
        <v>0</v>
      </c>
      <c r="N4" s="6">
        <f t="shared" si="2"/>
        <v>0</v>
      </c>
      <c r="O4" s="98">
        <v>0</v>
      </c>
      <c r="P4" s="6">
        <f t="shared" ref="P4:P6" si="3">N4-O4</f>
        <v>0</v>
      </c>
    </row>
    <row r="5" spans="1:22" x14ac:dyDescent="0.25">
      <c r="A5" s="18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50"/>
      <c r="N5" s="6"/>
      <c r="O5" s="102"/>
      <c r="P5" s="6">
        <f t="shared" si="3"/>
        <v>0</v>
      </c>
    </row>
    <row r="6" spans="1:22" ht="15.75" thickBot="1" x14ac:dyDescent="0.3">
      <c r="A6" s="43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6"/>
      <c r="O6" s="102"/>
      <c r="P6" s="6">
        <f t="shared" si="3"/>
        <v>0</v>
      </c>
    </row>
    <row r="7" spans="1:22" s="1" customFormat="1" ht="15.75" thickBot="1" x14ac:dyDescent="0.3">
      <c r="A7" s="7" t="s">
        <v>0</v>
      </c>
      <c r="B7" s="11">
        <f t="shared" ref="B7:O7" si="4">SUM(B3:B6)</f>
        <v>0</v>
      </c>
      <c r="C7" s="11">
        <f t="shared" si="4"/>
        <v>0</v>
      </c>
      <c r="D7" s="11">
        <f t="shared" si="4"/>
        <v>0</v>
      </c>
      <c r="E7" s="11">
        <f t="shared" si="4"/>
        <v>0</v>
      </c>
      <c r="F7" s="11">
        <f t="shared" si="4"/>
        <v>10525</v>
      </c>
      <c r="G7" s="11">
        <f t="shared" si="4"/>
        <v>10525</v>
      </c>
      <c r="H7" s="11">
        <f t="shared" si="4"/>
        <v>10525</v>
      </c>
      <c r="I7" s="11">
        <f t="shared" si="4"/>
        <v>10525</v>
      </c>
      <c r="J7" s="11">
        <f t="shared" si="4"/>
        <v>10525</v>
      </c>
      <c r="K7" s="11">
        <f t="shared" si="4"/>
        <v>10525</v>
      </c>
      <c r="L7" s="11">
        <f t="shared" si="4"/>
        <v>10525</v>
      </c>
      <c r="M7" s="11">
        <f t="shared" si="4"/>
        <v>10525</v>
      </c>
      <c r="N7" s="13">
        <f t="shared" si="4"/>
        <v>84200</v>
      </c>
      <c r="O7" s="13">
        <f t="shared" si="4"/>
        <v>0</v>
      </c>
      <c r="P7" s="13">
        <f>SUM(P3:P6)</f>
        <v>84200</v>
      </c>
    </row>
    <row r="10" spans="1:22" ht="21.75" customHeight="1" thickBot="1" x14ac:dyDescent="0.3">
      <c r="A10" s="10" t="s">
        <v>240</v>
      </c>
    </row>
    <row r="11" spans="1:22" x14ac:dyDescent="0.25">
      <c r="B11" s="8" t="s">
        <v>63</v>
      </c>
      <c r="C11" s="8" t="s">
        <v>64</v>
      </c>
      <c r="D11" s="8" t="s">
        <v>65</v>
      </c>
      <c r="E11" s="8" t="s">
        <v>66</v>
      </c>
      <c r="F11" s="8" t="s">
        <v>67</v>
      </c>
      <c r="G11" s="8" t="s">
        <v>68</v>
      </c>
      <c r="H11" s="8" t="s">
        <v>69</v>
      </c>
      <c r="I11" s="8" t="s">
        <v>70</v>
      </c>
      <c r="J11" s="8" t="s">
        <v>71</v>
      </c>
      <c r="K11" s="8" t="s">
        <v>72</v>
      </c>
      <c r="L11" s="8" t="s">
        <v>73</v>
      </c>
      <c r="M11" s="9" t="s">
        <v>74</v>
      </c>
      <c r="N11" s="5" t="str">
        <f>N2</f>
        <v>סה"כ 2018</v>
      </c>
      <c r="O11" s="5" t="str">
        <f>O2</f>
        <v>סה"כ 2017</v>
      </c>
      <c r="P11" s="5" t="s">
        <v>215</v>
      </c>
    </row>
    <row r="12" spans="1:22" ht="29.25" x14ac:dyDescent="0.25">
      <c r="A12" s="32" t="s">
        <v>241</v>
      </c>
      <c r="B12" s="19">
        <f>ROUND(25000/12,-2)</f>
        <v>2100</v>
      </c>
      <c r="C12" s="19">
        <f t="shared" ref="C12:M12" si="5">ROUND(25000/12,-2)</f>
        <v>2100</v>
      </c>
      <c r="D12" s="19">
        <f t="shared" si="5"/>
        <v>2100</v>
      </c>
      <c r="E12" s="19">
        <f t="shared" si="5"/>
        <v>2100</v>
      </c>
      <c r="F12" s="19">
        <f t="shared" si="5"/>
        <v>2100</v>
      </c>
      <c r="G12" s="19">
        <f t="shared" si="5"/>
        <v>2100</v>
      </c>
      <c r="H12" s="19">
        <f t="shared" si="5"/>
        <v>2100</v>
      </c>
      <c r="I12" s="19">
        <f t="shared" si="5"/>
        <v>2100</v>
      </c>
      <c r="J12" s="19">
        <f t="shared" si="5"/>
        <v>2100</v>
      </c>
      <c r="K12" s="19">
        <f t="shared" si="5"/>
        <v>2100</v>
      </c>
      <c r="L12" s="19">
        <f t="shared" si="5"/>
        <v>2100</v>
      </c>
      <c r="M12" s="19">
        <f t="shared" si="5"/>
        <v>2100</v>
      </c>
      <c r="N12" s="6">
        <f t="shared" ref="N12:N27" si="6">SUM(B12:M12)</f>
        <v>25200</v>
      </c>
      <c r="O12" s="98">
        <v>0</v>
      </c>
      <c r="P12" s="6">
        <f>N12-O12</f>
        <v>25200</v>
      </c>
    </row>
    <row r="13" spans="1:22" ht="29.25" x14ac:dyDescent="0.25">
      <c r="A13" s="32" t="s">
        <v>290</v>
      </c>
      <c r="B13" s="19">
        <v>600</v>
      </c>
      <c r="C13" s="19">
        <v>600</v>
      </c>
      <c r="D13" s="19">
        <v>600</v>
      </c>
      <c r="E13" s="19">
        <v>600</v>
      </c>
      <c r="F13" s="19">
        <v>600</v>
      </c>
      <c r="G13" s="19">
        <v>600</v>
      </c>
      <c r="H13" s="19">
        <v>600</v>
      </c>
      <c r="I13" s="19">
        <v>600</v>
      </c>
      <c r="J13" s="19">
        <v>600</v>
      </c>
      <c r="K13" s="19">
        <v>600</v>
      </c>
      <c r="L13" s="19">
        <v>600</v>
      </c>
      <c r="M13" s="19">
        <v>600</v>
      </c>
      <c r="N13" s="6">
        <f t="shared" si="6"/>
        <v>7200</v>
      </c>
      <c r="O13" s="98">
        <v>0</v>
      </c>
      <c r="P13" s="6">
        <f t="shared" ref="P13:P27" si="7">N13-O13</f>
        <v>7200</v>
      </c>
    </row>
    <row r="14" spans="1:22" ht="29.25" x14ac:dyDescent="0.25">
      <c r="A14" s="32" t="s">
        <v>242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6">
        <f t="shared" ref="N14" si="8">SUM(B14:M14)</f>
        <v>0</v>
      </c>
      <c r="O14" s="98">
        <v>0</v>
      </c>
      <c r="P14" s="6">
        <f t="shared" ref="P14" si="9">N14-O14</f>
        <v>0</v>
      </c>
    </row>
    <row r="15" spans="1:22" x14ac:dyDescent="0.25">
      <c r="A15" s="18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50"/>
      <c r="N15" s="6">
        <f>SUM(B15:M15)</f>
        <v>0</v>
      </c>
      <c r="O15" s="102"/>
      <c r="P15" s="6">
        <f t="shared" si="7"/>
        <v>0</v>
      </c>
      <c r="Q15" s="23"/>
      <c r="R15" s="23"/>
      <c r="S15" s="23"/>
      <c r="T15" s="23"/>
    </row>
    <row r="16" spans="1:22" x14ac:dyDescent="0.25">
      <c r="A16" s="18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50"/>
      <c r="N16" s="6">
        <f t="shared" si="6"/>
        <v>0</v>
      </c>
      <c r="O16" s="102"/>
      <c r="P16" s="6">
        <f t="shared" si="7"/>
        <v>0</v>
      </c>
    </row>
    <row r="17" spans="1:16" x14ac:dyDescent="0.25">
      <c r="A17" s="18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50"/>
      <c r="N17" s="6">
        <f t="shared" si="6"/>
        <v>0</v>
      </c>
      <c r="O17" s="102"/>
      <c r="P17" s="6">
        <f t="shared" si="7"/>
        <v>0</v>
      </c>
    </row>
    <row r="18" spans="1:16" x14ac:dyDescent="0.25">
      <c r="A18" s="18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50"/>
      <c r="N18" s="6">
        <f t="shared" si="6"/>
        <v>0</v>
      </c>
      <c r="O18" s="102"/>
      <c r="P18" s="6">
        <f t="shared" si="7"/>
        <v>0</v>
      </c>
    </row>
    <row r="19" spans="1:16" x14ac:dyDescent="0.25">
      <c r="A19" s="18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50"/>
      <c r="N19" s="6">
        <f t="shared" si="6"/>
        <v>0</v>
      </c>
      <c r="O19" s="102"/>
      <c r="P19" s="6">
        <f t="shared" si="7"/>
        <v>0</v>
      </c>
    </row>
    <row r="20" spans="1:16" x14ac:dyDescent="0.25">
      <c r="A20" s="18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50"/>
      <c r="N20" s="6">
        <f t="shared" si="6"/>
        <v>0</v>
      </c>
      <c r="O20" s="102"/>
      <c r="P20" s="6">
        <f t="shared" si="7"/>
        <v>0</v>
      </c>
    </row>
    <row r="21" spans="1:16" x14ac:dyDescent="0.25">
      <c r="A21" s="1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50"/>
      <c r="N21" s="6">
        <f t="shared" si="6"/>
        <v>0</v>
      </c>
      <c r="O21" s="102"/>
      <c r="P21" s="6">
        <f t="shared" si="7"/>
        <v>0</v>
      </c>
    </row>
    <row r="22" spans="1:16" x14ac:dyDescent="0.25">
      <c r="A22" s="1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50"/>
      <c r="N22" s="6">
        <f t="shared" si="6"/>
        <v>0</v>
      </c>
      <c r="O22" s="102"/>
      <c r="P22" s="6">
        <f t="shared" si="7"/>
        <v>0</v>
      </c>
    </row>
    <row r="23" spans="1:16" x14ac:dyDescent="0.25">
      <c r="A23" s="18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50"/>
      <c r="N23" s="6">
        <f t="shared" si="6"/>
        <v>0</v>
      </c>
      <c r="O23" s="102"/>
      <c r="P23" s="6">
        <f t="shared" si="7"/>
        <v>0</v>
      </c>
    </row>
    <row r="24" spans="1:16" x14ac:dyDescent="0.25">
      <c r="A24" s="18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50"/>
      <c r="N24" s="6">
        <f t="shared" si="6"/>
        <v>0</v>
      </c>
      <c r="O24" s="102"/>
      <c r="P24" s="6">
        <f t="shared" si="7"/>
        <v>0</v>
      </c>
    </row>
    <row r="25" spans="1:16" x14ac:dyDescent="0.25">
      <c r="A25" s="1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50"/>
      <c r="N25" s="6">
        <f t="shared" si="6"/>
        <v>0</v>
      </c>
      <c r="O25" s="102"/>
      <c r="P25" s="6">
        <f t="shared" si="7"/>
        <v>0</v>
      </c>
    </row>
    <row r="26" spans="1:16" x14ac:dyDescent="0.25">
      <c r="A26" s="18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6">
        <f t="shared" si="6"/>
        <v>0</v>
      </c>
      <c r="O26" s="102"/>
      <c r="P26" s="6">
        <f t="shared" si="7"/>
        <v>0</v>
      </c>
    </row>
    <row r="27" spans="1:16" ht="15.75" thickBot="1" x14ac:dyDescent="0.3">
      <c r="A27" s="20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2"/>
      <c r="N27" s="6">
        <f t="shared" si="6"/>
        <v>0</v>
      </c>
      <c r="O27" s="102"/>
      <c r="P27" s="6">
        <f t="shared" si="7"/>
        <v>0</v>
      </c>
    </row>
    <row r="28" spans="1:16" s="1" customFormat="1" ht="15.75" thickBot="1" x14ac:dyDescent="0.3">
      <c r="A28" s="7" t="s">
        <v>1</v>
      </c>
      <c r="B28" s="11">
        <f t="shared" ref="B28:O28" si="10">SUM(B12:B27)</f>
        <v>2700</v>
      </c>
      <c r="C28" s="11">
        <f t="shared" si="10"/>
        <v>2700</v>
      </c>
      <c r="D28" s="11">
        <f t="shared" si="10"/>
        <v>2700</v>
      </c>
      <c r="E28" s="11">
        <f t="shared" si="10"/>
        <v>2700</v>
      </c>
      <c r="F28" s="11">
        <f t="shared" si="10"/>
        <v>2700</v>
      </c>
      <c r="G28" s="11">
        <f t="shared" si="10"/>
        <v>2700</v>
      </c>
      <c r="H28" s="11">
        <f t="shared" si="10"/>
        <v>2700</v>
      </c>
      <c r="I28" s="11">
        <f t="shared" si="10"/>
        <v>2700</v>
      </c>
      <c r="J28" s="11">
        <f t="shared" si="10"/>
        <v>2700</v>
      </c>
      <c r="K28" s="11">
        <f t="shared" si="10"/>
        <v>2700</v>
      </c>
      <c r="L28" s="11">
        <f t="shared" si="10"/>
        <v>2700</v>
      </c>
      <c r="M28" s="12">
        <f t="shared" si="10"/>
        <v>2700</v>
      </c>
      <c r="N28" s="13">
        <f t="shared" si="10"/>
        <v>32400</v>
      </c>
      <c r="O28" s="13">
        <f t="shared" si="10"/>
        <v>0</v>
      </c>
      <c r="P28" s="13">
        <f>SUM(P12:P27)</f>
        <v>32400</v>
      </c>
    </row>
    <row r="29" spans="1:16" ht="15.75" thickBot="1" x14ac:dyDescent="0.3"/>
    <row r="30" spans="1:16" s="1" customFormat="1" ht="15.75" thickBot="1" x14ac:dyDescent="0.3">
      <c r="A30" s="24" t="s">
        <v>114</v>
      </c>
      <c r="B30" s="25">
        <f t="shared" ref="B30:N30" si="11">B7-B28</f>
        <v>-2700</v>
      </c>
      <c r="C30" s="25">
        <f t="shared" si="11"/>
        <v>-2700</v>
      </c>
      <c r="D30" s="25">
        <f t="shared" si="11"/>
        <v>-2700</v>
      </c>
      <c r="E30" s="25">
        <f t="shared" si="11"/>
        <v>-2700</v>
      </c>
      <c r="F30" s="25">
        <f t="shared" si="11"/>
        <v>7825</v>
      </c>
      <c r="G30" s="25">
        <f t="shared" si="11"/>
        <v>7825</v>
      </c>
      <c r="H30" s="25">
        <f t="shared" si="11"/>
        <v>7825</v>
      </c>
      <c r="I30" s="25">
        <f t="shared" si="11"/>
        <v>7825</v>
      </c>
      <c r="J30" s="25">
        <f t="shared" si="11"/>
        <v>7825</v>
      </c>
      <c r="K30" s="25">
        <f t="shared" si="11"/>
        <v>7825</v>
      </c>
      <c r="L30" s="25">
        <f t="shared" si="11"/>
        <v>7825</v>
      </c>
      <c r="M30" s="26">
        <f t="shared" si="11"/>
        <v>7825</v>
      </c>
      <c r="N30" s="27">
        <f t="shared" si="11"/>
        <v>51800</v>
      </c>
      <c r="O30" s="27">
        <f>O7-O28</f>
        <v>0</v>
      </c>
      <c r="P30" s="27">
        <f>P7-P28</f>
        <v>51800</v>
      </c>
    </row>
    <row r="32" spans="1:16" x14ac:dyDescent="0.25">
      <c r="N32" s="14"/>
      <c r="O32" s="14"/>
      <c r="P32" s="14"/>
    </row>
  </sheetData>
  <pageMargins left="0.70866141732283472" right="0.70866141732283472" top="0.74803149606299213" bottom="0.74803149606299213" header="0.31496062992125984" footer="0.31496062992125984"/>
  <pageSetup paperSize="9" scale="58" orientation="landscape" r:id="rId1"/>
  <colBreaks count="1" manualBreakCount="1">
    <brk id="16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15</vt:i4>
      </vt:variant>
      <vt:variant>
        <vt:lpstr>טווחים בעלי שם</vt:lpstr>
      </vt:variant>
      <vt:variant>
        <vt:i4>12</vt:i4>
      </vt:variant>
    </vt:vector>
  </HeadingPairs>
  <TitlesOfParts>
    <vt:vector size="27" baseType="lpstr">
      <vt:lpstr>דוח רווח והפסד - תקציב 2018</vt:lpstr>
      <vt:lpstr>דוח מסכם - תקציב 2018</vt:lpstr>
      <vt:lpstr>קאנטרי קלאב</vt:lpstr>
      <vt:lpstr>בריכה עפולה עילית</vt:lpstr>
      <vt:lpstr>מזנון בריכה קאנטרי קלאב</vt:lpstr>
      <vt:lpstr>מזנון בריכה עפולה עילית </vt:lpstr>
      <vt:lpstr>הכנסות מדמי שכירות</vt:lpstr>
      <vt:lpstr>חממה טכנולוגית- מרכז חדשנות</vt:lpstr>
      <vt:lpstr>ברוש - מרכז יזמות וחדשנות</vt:lpstr>
      <vt:lpstr>הנהלה וכלליות</vt:lpstr>
      <vt:lpstr>מנהלת הסכם הגג</vt:lpstr>
      <vt:lpstr>מתחם תחנת הרכבת</vt:lpstr>
      <vt:lpstr>העסקת עובדי עירייה</vt:lpstr>
      <vt:lpstr>פרויקטים - תב"רים</vt:lpstr>
      <vt:lpstr>שכר עבודה</vt:lpstr>
      <vt:lpstr>'ברוש - מרכז יזמות וחדשנות'!WPrint_Area_W</vt:lpstr>
      <vt:lpstr>'בריכה עפולה עילית'!WPrint_Area_W</vt:lpstr>
      <vt:lpstr>'דוח מסכם - תקציב 2018'!WPrint_Area_W</vt:lpstr>
      <vt:lpstr>'הכנסות מדמי שכירות'!WPrint_Area_W</vt:lpstr>
      <vt:lpstr>'הנהלה וכלליות'!WPrint_Area_W</vt:lpstr>
      <vt:lpstr>'העסקת עובדי עירייה'!WPrint_Area_W</vt:lpstr>
      <vt:lpstr>'חממה טכנולוגית- מרכז חדשנות'!WPrint_Area_W</vt:lpstr>
      <vt:lpstr>'מזנון בריכה עפולה עילית '!WPrint_Area_W</vt:lpstr>
      <vt:lpstr>'מזנון בריכה קאנטרי קלאב'!WPrint_Area_W</vt:lpstr>
      <vt:lpstr>'מנהלת הסכם הגג'!WPrint_Area_W</vt:lpstr>
      <vt:lpstr>'מתחם תחנת הרכבת'!WPrint_Area_W</vt:lpstr>
      <vt:lpstr>'קאנטרי קלאב'!WPrint_Area_W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תומר חדד</dc:creator>
  <cp:lastModifiedBy>עליזה מלכה</cp:lastModifiedBy>
  <cp:lastPrinted>2018-02-13T14:22:42Z</cp:lastPrinted>
  <dcterms:created xsi:type="dcterms:W3CDTF">2017-01-03T10:50:05Z</dcterms:created>
  <dcterms:modified xsi:type="dcterms:W3CDTF">2019-09-10T12:13:50Z</dcterms:modified>
</cp:coreProperties>
</file>