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tanel\Desktop\"/>
    </mc:Choice>
  </mc:AlternateContent>
  <bookViews>
    <workbookView xWindow="0" yWindow="0" windowWidth="28800" windowHeight="12465"/>
  </bookViews>
  <sheets>
    <sheet name="גיליון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O17" i="1"/>
  <c r="L17" i="1"/>
  <c r="K17" i="1"/>
  <c r="N17" i="1" s="1"/>
  <c r="D17" i="1"/>
  <c r="O16" i="1"/>
  <c r="N16" i="1"/>
  <c r="M16" i="1"/>
  <c r="I16" i="1"/>
  <c r="H16" i="1"/>
  <c r="G16" i="1"/>
  <c r="D16" i="1"/>
  <c r="P16" i="1" s="1"/>
  <c r="O15" i="1"/>
  <c r="N15" i="1"/>
  <c r="M15" i="1"/>
  <c r="I15" i="1"/>
  <c r="H15" i="1"/>
  <c r="G15" i="1"/>
  <c r="D15" i="1"/>
  <c r="P15" i="1" s="1"/>
  <c r="N14" i="1"/>
  <c r="L14" i="1"/>
  <c r="O14" i="1" s="1"/>
  <c r="H14" i="1"/>
  <c r="G14" i="1"/>
  <c r="D14" i="1"/>
  <c r="J14" i="1" s="1"/>
  <c r="C14" i="1"/>
  <c r="I14" i="1" s="1"/>
  <c r="O13" i="1"/>
  <c r="N13" i="1"/>
  <c r="M13" i="1"/>
  <c r="I13" i="1"/>
  <c r="H13" i="1"/>
  <c r="G13" i="1"/>
  <c r="D13" i="1"/>
  <c r="P13" i="1" s="1"/>
  <c r="L12" i="1"/>
  <c r="M12" i="1" s="1"/>
  <c r="K12" i="1"/>
  <c r="H12" i="1"/>
  <c r="G12" i="1"/>
  <c r="E12" i="1"/>
  <c r="C12" i="1"/>
  <c r="O12" i="1" s="1"/>
  <c r="B12" i="1"/>
  <c r="N12" i="1" s="1"/>
  <c r="N11" i="1"/>
  <c r="M11" i="1"/>
  <c r="L11" i="1"/>
  <c r="H11" i="1"/>
  <c r="G11" i="1"/>
  <c r="N10" i="1"/>
  <c r="M10" i="1"/>
  <c r="P10" i="1" s="1"/>
  <c r="L10" i="1"/>
  <c r="O10" i="1" s="1"/>
  <c r="I10" i="1"/>
  <c r="H10" i="1"/>
  <c r="G10" i="1"/>
  <c r="D10" i="1"/>
  <c r="J10" i="1" s="1"/>
  <c r="N9" i="1"/>
  <c r="M9" i="1"/>
  <c r="H9" i="1"/>
  <c r="G9" i="1"/>
  <c r="C9" i="1"/>
  <c r="D9" i="1" s="1"/>
  <c r="N8" i="1"/>
  <c r="M8" i="1"/>
  <c r="L8" i="1"/>
  <c r="K8" i="1"/>
  <c r="G8" i="1"/>
  <c r="C8" i="1"/>
  <c r="O8" i="1" s="1"/>
  <c r="B8" i="1"/>
  <c r="H8" i="1" s="1"/>
  <c r="O7" i="1"/>
  <c r="N7" i="1"/>
  <c r="L7" i="1"/>
  <c r="K7" i="1"/>
  <c r="M7" i="1" s="1"/>
  <c r="G7" i="1"/>
  <c r="D7" i="1"/>
  <c r="P7" i="1" s="1"/>
  <c r="C7" i="1"/>
  <c r="I7" i="1" s="1"/>
  <c r="B7" i="1"/>
  <c r="H7" i="1" s="1"/>
  <c r="O6" i="1"/>
  <c r="N6" i="1"/>
  <c r="M6" i="1"/>
  <c r="I6" i="1"/>
  <c r="H6" i="1"/>
  <c r="G6" i="1"/>
  <c r="D6" i="1"/>
  <c r="P6" i="1" s="1"/>
  <c r="L5" i="1"/>
  <c r="M5" i="1" s="1"/>
  <c r="K5" i="1"/>
  <c r="K18" i="1" s="1"/>
  <c r="G5" i="1"/>
  <c r="G18" i="1" s="1"/>
  <c r="E5" i="1"/>
  <c r="C5" i="1"/>
  <c r="B5" i="1"/>
  <c r="B18" i="1" s="1"/>
  <c r="P9" i="1" l="1"/>
  <c r="J9" i="1"/>
  <c r="C18" i="1"/>
  <c r="M18" i="1"/>
  <c r="H5" i="1"/>
  <c r="H18" i="1" s="1"/>
  <c r="J7" i="1"/>
  <c r="I8" i="1"/>
  <c r="I9" i="1"/>
  <c r="O9" i="1"/>
  <c r="C11" i="1"/>
  <c r="L18" i="1"/>
  <c r="D5" i="1"/>
  <c r="I5" i="1"/>
  <c r="J6" i="1"/>
  <c r="D8" i="1"/>
  <c r="D12" i="1"/>
  <c r="I12" i="1"/>
  <c r="J13" i="1"/>
  <c r="M14" i="1"/>
  <c r="P14" i="1" s="1"/>
  <c r="J15" i="1"/>
  <c r="N5" i="1"/>
  <c r="N18" i="1" s="1"/>
  <c r="J16" i="1"/>
  <c r="M17" i="1"/>
  <c r="P17" i="1" s="1"/>
  <c r="O5" i="1"/>
  <c r="J12" i="1" l="1"/>
  <c r="P12" i="1"/>
  <c r="J5" i="1"/>
  <c r="J18" i="1" s="1"/>
  <c r="P5" i="1"/>
  <c r="P8" i="1"/>
  <c r="J8" i="1"/>
  <c r="O11" i="1"/>
  <c r="O18" i="1" s="1"/>
  <c r="D11" i="1"/>
  <c r="I11" i="1"/>
  <c r="I18" i="1"/>
  <c r="P11" i="1" l="1"/>
  <c r="J11" i="1"/>
  <c r="P18" i="1"/>
  <c r="D18" i="1"/>
</calcChain>
</file>

<file path=xl/sharedStrings.xml><?xml version="1.0" encoding="utf-8"?>
<sst xmlns="http://schemas.openxmlformats.org/spreadsheetml/2006/main" count="34" uniqueCount="21">
  <si>
    <t>החברה הכלכלית לפיתוח עפולה תקציב 2022</t>
  </si>
  <si>
    <t xml:space="preserve">סעיף / מגזר פעילות </t>
  </si>
  <si>
    <t>2021 (למשוך)</t>
  </si>
  <si>
    <t>הפרש 2021&lt;&gt;2020</t>
  </si>
  <si>
    <t>הפרש 2022&lt;&gt;2021</t>
  </si>
  <si>
    <t>סה"כ הכנסות</t>
  </si>
  <si>
    <t>סה"כ הוצאות</t>
  </si>
  <si>
    <t>רווח (הפסד)</t>
  </si>
  <si>
    <t>קאנטרי קלאב</t>
  </si>
  <si>
    <t>מזנון בריכה קאנטרי קלאב</t>
  </si>
  <si>
    <t>מרכז חדשנות חממה טכנולוגית</t>
  </si>
  <si>
    <t>הכנסות מדמי שכירות</t>
  </si>
  <si>
    <t>ניהול פרויקטים</t>
  </si>
  <si>
    <t>פארק הרכבת</t>
  </si>
  <si>
    <t>הוצאות מימון</t>
  </si>
  <si>
    <t>העסקת עובדים (הנדסה)</t>
  </si>
  <si>
    <t>מנהלת הסכם הגג</t>
  </si>
  <si>
    <t>הנהלה + משרדים + כלליות</t>
  </si>
  <si>
    <t>הוצאות פחת</t>
  </si>
  <si>
    <t>הכנסות והוצאות חד פעמיות</t>
  </si>
  <si>
    <t>סה"כ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</si>
</sst>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(#,##0\)_ ;_ * &quot;-&quot;??_ ;_ @_ "/>
  </numFmts>
  <fonts count="2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/>
    <xf numFmtId="3" fontId="0" fillId="0" borderId="18" xfId="0" applyNumberFormat="1" applyBorder="1"/>
    <xf numFmtId="164" fontId="0" fillId="0" borderId="18" xfId="0" applyNumberFormat="1" applyBorder="1"/>
    <xf numFmtId="164" fontId="1" fillId="3" borderId="18" xfId="0" applyNumberFormat="1" applyFont="1" applyFill="1" applyBorder="1"/>
    <xf numFmtId="164" fontId="1" fillId="0" borderId="1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495;&#1489;&#1512;&#1492;%20&#1499;&#1500;&#1499;&#1500;&#1497;&#1514;\&#1504;&#1514;&#1504;&#1488;&#1500;\&#1514;&#1511;&#1510;&#1497;&#1489;%20&#1492;&#1495;&#1489;&#1512;&#1492;\&#1514;&#1511;&#1510;&#1497;&#1489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רווח והפסד - תקציב 2018"/>
      <sheetName val="דוח מסכם - תקציב 2022"/>
      <sheetName val="קאנטרי קלאב"/>
      <sheetName val="בריכה עפולה עילית"/>
      <sheetName val="מזנון בריכה קאנטרי קלאב"/>
      <sheetName val="מזנון בריכה עפולה עילית "/>
      <sheetName val="הכנסות מדמי שכירות ופרסום"/>
      <sheetName val="חממה טכנולוגית- מרכז חדשנות"/>
      <sheetName val="הנהלה וכלליות"/>
      <sheetName val="ניהול פרוייקטים-הסכם גג"/>
      <sheetName val="שכר עבודה"/>
    </sheetNames>
    <sheetDataSet>
      <sheetData sheetId="0" refreshError="1"/>
      <sheetData sheetId="1" refreshError="1"/>
      <sheetData sheetId="2">
        <row r="2">
          <cell r="N2" t="str">
            <v>סה"כ 2022</v>
          </cell>
        </row>
        <row r="3">
          <cell r="N3">
            <v>5550000</v>
          </cell>
        </row>
        <row r="28">
          <cell r="N28">
            <v>24000</v>
          </cell>
        </row>
      </sheetData>
      <sheetData sheetId="3" refreshError="1"/>
      <sheetData sheetId="4" refreshError="1"/>
      <sheetData sheetId="5" refreshError="1"/>
      <sheetData sheetId="6">
        <row r="6">
          <cell r="N6">
            <v>6000</v>
          </cell>
        </row>
        <row r="13">
          <cell r="N13">
            <v>12000</v>
          </cell>
        </row>
      </sheetData>
      <sheetData sheetId="7">
        <row r="3">
          <cell r="N3">
            <v>409500</v>
          </cell>
        </row>
        <row r="11">
          <cell r="N11">
            <v>12000</v>
          </cell>
        </row>
      </sheetData>
      <sheetData sheetId="8">
        <row r="15">
          <cell r="N15">
            <v>15600</v>
          </cell>
        </row>
      </sheetData>
      <sheetData sheetId="9">
        <row r="9">
          <cell r="N9">
            <v>691200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rightToLeft="1" tabSelected="1" workbookViewId="0">
      <selection activeCell="C31" sqref="C31"/>
    </sheetView>
  </sheetViews>
  <sheetFormatPr defaultRowHeight="14.25" x14ac:dyDescent="0.2"/>
  <cols>
    <col min="1" max="1" width="33.5" bestFit="1" customWidth="1"/>
    <col min="2" max="2" width="12.375" customWidth="1"/>
    <col min="3" max="3" width="11.125" bestFit="1" customWidth="1"/>
    <col min="4" max="4" width="11.625" bestFit="1" customWidth="1"/>
    <col min="5" max="10" width="0" hidden="1" customWidth="1"/>
    <col min="11" max="11" width="11.375" bestFit="1" customWidth="1"/>
    <col min="12" max="12" width="11.125" bestFit="1" customWidth="1"/>
    <col min="13" max="13" width="11.625" bestFit="1" customWidth="1"/>
    <col min="14" max="14" width="11.375" bestFit="1" customWidth="1"/>
    <col min="15" max="16" width="11.125" bestFit="1" customWidth="1"/>
  </cols>
  <sheetData>
    <row r="1" spans="1:16" ht="1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6" ht="15" thickBot="1" x14ac:dyDescent="0.25"/>
    <row r="3" spans="1:16" ht="16.5" thickTop="1" thickBot="1" x14ac:dyDescent="0.3">
      <c r="A3" s="3" t="s">
        <v>1</v>
      </c>
      <c r="B3" s="4">
        <v>2022</v>
      </c>
      <c r="C3" s="5"/>
      <c r="D3" s="6"/>
      <c r="E3" s="7" t="s">
        <v>2</v>
      </c>
      <c r="F3" s="7"/>
      <c r="G3" s="8"/>
      <c r="H3" s="9" t="s">
        <v>3</v>
      </c>
      <c r="I3" s="10"/>
      <c r="J3" s="11"/>
      <c r="K3" s="4">
        <v>2021</v>
      </c>
      <c r="L3" s="5"/>
      <c r="M3" s="6"/>
      <c r="N3" s="12" t="s">
        <v>4</v>
      </c>
      <c r="O3" s="13"/>
      <c r="P3" s="14"/>
    </row>
    <row r="4" spans="1:16" ht="15" x14ac:dyDescent="0.25">
      <c r="A4" s="15"/>
      <c r="B4" s="16" t="s">
        <v>5</v>
      </c>
      <c r="C4" s="16" t="s">
        <v>6</v>
      </c>
      <c r="D4" s="17" t="s">
        <v>7</v>
      </c>
      <c r="E4" s="18" t="s">
        <v>5</v>
      </c>
      <c r="F4" s="16" t="s">
        <v>6</v>
      </c>
      <c r="G4" s="19" t="s">
        <v>7</v>
      </c>
      <c r="H4" s="20" t="s">
        <v>5</v>
      </c>
      <c r="I4" s="16" t="s">
        <v>6</v>
      </c>
      <c r="J4" s="19" t="s">
        <v>7</v>
      </c>
      <c r="K4" s="16" t="s">
        <v>5</v>
      </c>
      <c r="L4" s="16" t="s">
        <v>6</v>
      </c>
      <c r="M4" s="17" t="s">
        <v>7</v>
      </c>
      <c r="N4" s="16" t="s">
        <v>5</v>
      </c>
      <c r="O4" s="16" t="s">
        <v>6</v>
      </c>
      <c r="P4" s="17" t="s">
        <v>7</v>
      </c>
    </row>
    <row r="5" spans="1:16" ht="15" x14ac:dyDescent="0.25">
      <c r="A5" s="21" t="s">
        <v>8</v>
      </c>
      <c r="B5" s="22">
        <f>'[1]קאנטרי קלאב'!N3</f>
        <v>5550000</v>
      </c>
      <c r="C5" s="22">
        <f>'[1]קאנטרי קלאב'!N28</f>
        <v>24000</v>
      </c>
      <c r="D5" s="23">
        <f>B5-C5</f>
        <v>5526000</v>
      </c>
      <c r="E5" s="22" t="str">
        <f>'[1]קאנטרי קלאב'!N2</f>
        <v>סה"כ 2022</v>
      </c>
      <c r="F5" s="22"/>
      <c r="G5" s="23" t="e">
        <f>E5-F5</f>
        <v>#VALUE!</v>
      </c>
      <c r="H5" s="23" t="e">
        <f t="shared" ref="H5:J16" si="0">B5-E5</f>
        <v>#VALUE!</v>
      </c>
      <c r="I5" s="23">
        <f t="shared" si="0"/>
        <v>24000</v>
      </c>
      <c r="J5" s="23" t="e">
        <f t="shared" si="0"/>
        <v>#VALUE!</v>
      </c>
      <c r="K5" s="22">
        <f>4197407-582396+1275+368088</f>
        <v>3984374</v>
      </c>
      <c r="L5" s="22">
        <f>3129405+2329334-97000-786000</f>
        <v>4575739</v>
      </c>
      <c r="M5" s="23">
        <f>K5-L5</f>
        <v>-591365</v>
      </c>
      <c r="N5" s="22">
        <f>B5-K5</f>
        <v>1565626</v>
      </c>
      <c r="O5" s="22">
        <f>C5-L5</f>
        <v>-4551739</v>
      </c>
      <c r="P5" s="23">
        <f>D5-M5</f>
        <v>6117365</v>
      </c>
    </row>
    <row r="6" spans="1:16" ht="15" x14ac:dyDescent="0.25">
      <c r="A6" s="21" t="s">
        <v>9</v>
      </c>
      <c r="B6" s="23"/>
      <c r="C6" s="23"/>
      <c r="D6" s="23">
        <f t="shared" ref="D6:D17" si="1">B6-C6</f>
        <v>0</v>
      </c>
      <c r="E6" s="23"/>
      <c r="F6" s="23"/>
      <c r="G6" s="23">
        <f t="shared" ref="G6:G16" si="2">E6-F6</f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23"/>
      <c r="L6" s="23"/>
      <c r="M6" s="23">
        <f t="shared" ref="M6:M17" si="3">K6-L6</f>
        <v>0</v>
      </c>
      <c r="N6" s="22">
        <f t="shared" ref="N6:P17" si="4">B6-K6</f>
        <v>0</v>
      </c>
      <c r="O6" s="22">
        <f t="shared" si="4"/>
        <v>0</v>
      </c>
      <c r="P6" s="23">
        <f t="shared" si="4"/>
        <v>0</v>
      </c>
    </row>
    <row r="7" spans="1:16" ht="15" x14ac:dyDescent="0.25">
      <c r="A7" s="21" t="s">
        <v>10</v>
      </c>
      <c r="B7" s="23">
        <f>'[1]חממה טכנולוגית- מרכז חדשנות'!N3</f>
        <v>409500</v>
      </c>
      <c r="C7" s="23">
        <f>'[1]חממה טכנולוגית- מרכז חדשנות'!N11</f>
        <v>12000</v>
      </c>
      <c r="D7" s="23">
        <f t="shared" si="1"/>
        <v>397500</v>
      </c>
      <c r="E7" s="23">
        <v>477360</v>
      </c>
      <c r="F7" s="23"/>
      <c r="G7" s="23">
        <f t="shared" si="2"/>
        <v>477360</v>
      </c>
      <c r="H7" s="23">
        <f t="shared" si="0"/>
        <v>-67860</v>
      </c>
      <c r="I7" s="23">
        <f t="shared" si="0"/>
        <v>12000</v>
      </c>
      <c r="J7" s="23">
        <f t="shared" si="0"/>
        <v>-79860</v>
      </c>
      <c r="K7" s="23">
        <f>582396</f>
        <v>582396</v>
      </c>
      <c r="L7" s="23">
        <f>29915+40891+24991</f>
        <v>95797</v>
      </c>
      <c r="M7" s="23">
        <f t="shared" si="3"/>
        <v>486599</v>
      </c>
      <c r="N7" s="22">
        <f t="shared" si="4"/>
        <v>-172896</v>
      </c>
      <c r="O7" s="22">
        <f t="shared" si="4"/>
        <v>-83797</v>
      </c>
      <c r="P7" s="23">
        <f t="shared" si="4"/>
        <v>-89099</v>
      </c>
    </row>
    <row r="8" spans="1:16" ht="15" x14ac:dyDescent="0.25">
      <c r="A8" s="21" t="s">
        <v>11</v>
      </c>
      <c r="B8" s="23">
        <f>'[1]הכנסות מדמי שכירות ופרסום'!N6</f>
        <v>6000</v>
      </c>
      <c r="C8" s="23">
        <f>'[1]הכנסות מדמי שכירות ופרסום'!N13</f>
        <v>12000</v>
      </c>
      <c r="D8" s="23">
        <f t="shared" si="1"/>
        <v>-6000</v>
      </c>
      <c r="E8" s="23">
        <v>0</v>
      </c>
      <c r="F8" s="23"/>
      <c r="G8" s="23">
        <f t="shared" si="2"/>
        <v>0</v>
      </c>
      <c r="H8" s="23">
        <f t="shared" si="0"/>
        <v>6000</v>
      </c>
      <c r="I8" s="23">
        <f t="shared" si="0"/>
        <v>12000</v>
      </c>
      <c r="J8" s="23">
        <f t="shared" si="0"/>
        <v>-6000</v>
      </c>
      <c r="K8" s="23">
        <f>5983+1128326+207000</f>
        <v>1341309</v>
      </c>
      <c r="L8" s="23">
        <f>14500+1794+129600+1500</f>
        <v>147394</v>
      </c>
      <c r="M8" s="23">
        <f t="shared" si="3"/>
        <v>1193915</v>
      </c>
      <c r="N8" s="22">
        <f t="shared" si="4"/>
        <v>-1335309</v>
      </c>
      <c r="O8" s="22">
        <f t="shared" si="4"/>
        <v>-135394</v>
      </c>
      <c r="P8" s="23">
        <f t="shared" si="4"/>
        <v>-1199915</v>
      </c>
    </row>
    <row r="9" spans="1:16" ht="15" x14ac:dyDescent="0.25">
      <c r="A9" s="21" t="s">
        <v>12</v>
      </c>
      <c r="B9" s="23">
        <v>1050000</v>
      </c>
      <c r="C9" s="23">
        <f>'[1]ניהול פרוייקטים-הסכם גג'!N9</f>
        <v>691200</v>
      </c>
      <c r="D9" s="23">
        <f t="shared" si="1"/>
        <v>358800</v>
      </c>
      <c r="E9" s="23">
        <v>807640</v>
      </c>
      <c r="F9" s="23"/>
      <c r="G9" s="23">
        <f t="shared" si="2"/>
        <v>807640</v>
      </c>
      <c r="H9" s="23">
        <f t="shared" si="0"/>
        <v>242360</v>
      </c>
      <c r="I9" s="23">
        <f t="shared" si="0"/>
        <v>691200</v>
      </c>
      <c r="J9" s="23">
        <f t="shared" si="0"/>
        <v>-448840</v>
      </c>
      <c r="K9" s="23">
        <v>0</v>
      </c>
      <c r="L9" s="23">
        <v>0</v>
      </c>
      <c r="M9" s="23">
        <f t="shared" si="3"/>
        <v>0</v>
      </c>
      <c r="N9" s="22">
        <f t="shared" si="4"/>
        <v>1050000</v>
      </c>
      <c r="O9" s="22">
        <f t="shared" si="4"/>
        <v>691200</v>
      </c>
      <c r="P9" s="23">
        <f t="shared" si="4"/>
        <v>358800</v>
      </c>
    </row>
    <row r="10" spans="1:16" ht="15" x14ac:dyDescent="0.25">
      <c r="A10" s="21" t="s">
        <v>13</v>
      </c>
      <c r="B10" s="23">
        <v>150000</v>
      </c>
      <c r="C10" s="23">
        <v>130000</v>
      </c>
      <c r="D10" s="23">
        <f t="shared" si="1"/>
        <v>20000</v>
      </c>
      <c r="E10" s="23">
        <v>0</v>
      </c>
      <c r="F10" s="23"/>
      <c r="G10" s="23">
        <f t="shared" si="2"/>
        <v>0</v>
      </c>
      <c r="H10" s="23">
        <f t="shared" si="0"/>
        <v>150000</v>
      </c>
      <c r="I10" s="23">
        <f t="shared" si="0"/>
        <v>130000</v>
      </c>
      <c r="J10" s="23">
        <f t="shared" si="0"/>
        <v>20000</v>
      </c>
      <c r="K10" s="23">
        <v>0</v>
      </c>
      <c r="L10" s="23">
        <f>24365+127430</f>
        <v>151795</v>
      </c>
      <c r="M10" s="23">
        <f t="shared" si="3"/>
        <v>-151795</v>
      </c>
      <c r="N10" s="22">
        <f t="shared" si="4"/>
        <v>150000</v>
      </c>
      <c r="O10" s="22">
        <f t="shared" si="4"/>
        <v>-21795</v>
      </c>
      <c r="P10" s="23">
        <f t="shared" si="4"/>
        <v>171795</v>
      </c>
    </row>
    <row r="11" spans="1:16" ht="15" x14ac:dyDescent="0.25">
      <c r="A11" s="21" t="s">
        <v>14</v>
      </c>
      <c r="B11" s="23">
        <v>0</v>
      </c>
      <c r="C11" s="23">
        <f>(B5+B7+B8+B9)*0.015</f>
        <v>105232.5</v>
      </c>
      <c r="D11" s="23">
        <f t="shared" si="1"/>
        <v>-105232.5</v>
      </c>
      <c r="E11" s="23">
        <v>4200</v>
      </c>
      <c r="F11" s="23"/>
      <c r="G11" s="23">
        <f t="shared" si="2"/>
        <v>4200</v>
      </c>
      <c r="H11" s="23">
        <f t="shared" si="0"/>
        <v>-4200</v>
      </c>
      <c r="I11" s="23">
        <f t="shared" si="0"/>
        <v>105232.5</v>
      </c>
      <c r="J11" s="23">
        <f t="shared" si="0"/>
        <v>-109432.5</v>
      </c>
      <c r="K11" s="23">
        <v>0</v>
      </c>
      <c r="L11" s="23">
        <f>629647-400000</f>
        <v>229647</v>
      </c>
      <c r="M11" s="23">
        <f t="shared" si="3"/>
        <v>-229647</v>
      </c>
      <c r="N11" s="22">
        <f t="shared" si="4"/>
        <v>0</v>
      </c>
      <c r="O11" s="22">
        <f t="shared" si="4"/>
        <v>-124414.5</v>
      </c>
      <c r="P11" s="23">
        <f t="shared" si="4"/>
        <v>124414.5</v>
      </c>
    </row>
    <row r="12" spans="1:16" ht="15" x14ac:dyDescent="0.25">
      <c r="A12" s="21" t="s">
        <v>15</v>
      </c>
      <c r="B12" s="23">
        <f>10700*12</f>
        <v>128400</v>
      </c>
      <c r="C12" s="23">
        <f>B12*0.95</f>
        <v>121980</v>
      </c>
      <c r="D12" s="23">
        <f t="shared" si="1"/>
        <v>6420</v>
      </c>
      <c r="E12" s="23">
        <f>215921.6+47155.56</f>
        <v>263077.16000000003</v>
      </c>
      <c r="F12" s="23"/>
      <c r="G12" s="23">
        <f t="shared" si="2"/>
        <v>263077.16000000003</v>
      </c>
      <c r="H12" s="23">
        <f t="shared" si="0"/>
        <v>-134677.16000000003</v>
      </c>
      <c r="I12" s="23">
        <f t="shared" si="0"/>
        <v>121980</v>
      </c>
      <c r="J12" s="23">
        <f t="shared" si="0"/>
        <v>-256657.16000000003</v>
      </c>
      <c r="K12" s="23">
        <f>197373</f>
        <v>197373</v>
      </c>
      <c r="L12" s="23">
        <f>97000+4020</f>
        <v>101020</v>
      </c>
      <c r="M12" s="23">
        <f t="shared" si="3"/>
        <v>96353</v>
      </c>
      <c r="N12" s="22">
        <f t="shared" si="4"/>
        <v>-68973</v>
      </c>
      <c r="O12" s="22">
        <f t="shared" si="4"/>
        <v>20960</v>
      </c>
      <c r="P12" s="23">
        <f t="shared" si="4"/>
        <v>-89933</v>
      </c>
    </row>
    <row r="13" spans="1:16" ht="15" x14ac:dyDescent="0.25">
      <c r="A13" s="21" t="s">
        <v>16</v>
      </c>
      <c r="B13" s="23"/>
      <c r="C13" s="23"/>
      <c r="D13" s="23">
        <f t="shared" si="1"/>
        <v>0</v>
      </c>
      <c r="E13" s="23"/>
      <c r="F13" s="23"/>
      <c r="G13" s="23">
        <f t="shared" si="2"/>
        <v>0</v>
      </c>
      <c r="H13" s="23">
        <f t="shared" si="0"/>
        <v>0</v>
      </c>
      <c r="I13" s="23">
        <f t="shared" si="0"/>
        <v>0</v>
      </c>
      <c r="J13" s="23">
        <f t="shared" si="0"/>
        <v>0</v>
      </c>
      <c r="K13" s="23"/>
      <c r="L13" s="23"/>
      <c r="M13" s="23">
        <f t="shared" si="3"/>
        <v>0</v>
      </c>
      <c r="N13" s="22">
        <f t="shared" si="4"/>
        <v>0</v>
      </c>
      <c r="O13" s="22">
        <f t="shared" si="4"/>
        <v>0</v>
      </c>
      <c r="P13" s="23">
        <f t="shared" si="4"/>
        <v>0</v>
      </c>
    </row>
    <row r="14" spans="1:16" ht="15" x14ac:dyDescent="0.25">
      <c r="A14" s="21" t="s">
        <v>17</v>
      </c>
      <c r="B14" s="23">
        <v>0</v>
      </c>
      <c r="C14" s="23">
        <f>'[1]הנהלה וכלליות'!N15</f>
        <v>15600</v>
      </c>
      <c r="D14" s="23">
        <f t="shared" si="1"/>
        <v>-15600</v>
      </c>
      <c r="E14" s="23">
        <v>0</v>
      </c>
      <c r="F14" s="23"/>
      <c r="G14" s="23">
        <f t="shared" si="2"/>
        <v>0</v>
      </c>
      <c r="H14" s="23">
        <f t="shared" si="0"/>
        <v>0</v>
      </c>
      <c r="I14" s="23">
        <f t="shared" si="0"/>
        <v>15600</v>
      </c>
      <c r="J14" s="23">
        <f t="shared" si="0"/>
        <v>-15600</v>
      </c>
      <c r="K14" s="23">
        <v>0</v>
      </c>
      <c r="L14" s="23">
        <f>786000+682702-33333-25300+10274+65772</f>
        <v>1486115</v>
      </c>
      <c r="M14" s="23">
        <f t="shared" si="3"/>
        <v>-1486115</v>
      </c>
      <c r="N14" s="22">
        <f t="shared" si="4"/>
        <v>0</v>
      </c>
      <c r="O14" s="22">
        <f t="shared" si="4"/>
        <v>-1470515</v>
      </c>
      <c r="P14" s="23">
        <f t="shared" si="4"/>
        <v>1470515</v>
      </c>
    </row>
    <row r="15" spans="1:16" ht="15" x14ac:dyDescent="0.25">
      <c r="A15" s="21" t="s">
        <v>12</v>
      </c>
      <c r="B15" s="23">
        <v>0</v>
      </c>
      <c r="C15" s="23"/>
      <c r="D15" s="23">
        <f t="shared" si="1"/>
        <v>0</v>
      </c>
      <c r="E15" s="23"/>
      <c r="F15" s="23"/>
      <c r="G15" s="23">
        <f t="shared" si="2"/>
        <v>0</v>
      </c>
      <c r="H15" s="23">
        <f t="shared" si="0"/>
        <v>0</v>
      </c>
      <c r="I15" s="23">
        <f t="shared" si="0"/>
        <v>0</v>
      </c>
      <c r="J15" s="23">
        <f t="shared" si="0"/>
        <v>0</v>
      </c>
      <c r="K15" s="23"/>
      <c r="L15" s="23"/>
      <c r="M15" s="23">
        <f t="shared" si="3"/>
        <v>0</v>
      </c>
      <c r="N15" s="22">
        <f t="shared" si="4"/>
        <v>0</v>
      </c>
      <c r="O15" s="22">
        <f t="shared" si="4"/>
        <v>0</v>
      </c>
      <c r="P15" s="23">
        <f t="shared" si="4"/>
        <v>0</v>
      </c>
    </row>
    <row r="16" spans="1:16" ht="15" x14ac:dyDescent="0.25">
      <c r="A16" s="21" t="s">
        <v>18</v>
      </c>
      <c r="B16" s="23">
        <v>0</v>
      </c>
      <c r="C16" s="23"/>
      <c r="D16" s="23">
        <f t="shared" si="1"/>
        <v>0</v>
      </c>
      <c r="E16" s="23"/>
      <c r="F16" s="23"/>
      <c r="G16" s="23">
        <f t="shared" si="2"/>
        <v>0</v>
      </c>
      <c r="H16" s="23">
        <f t="shared" si="0"/>
        <v>0</v>
      </c>
      <c r="I16" s="23">
        <f t="shared" si="0"/>
        <v>0</v>
      </c>
      <c r="J16" s="23">
        <f t="shared" si="0"/>
        <v>0</v>
      </c>
      <c r="K16" s="23"/>
      <c r="L16" s="23"/>
      <c r="M16" s="23">
        <f t="shared" si="3"/>
        <v>0</v>
      </c>
      <c r="N16" s="22">
        <f t="shared" si="4"/>
        <v>0</v>
      </c>
      <c r="O16" s="22">
        <f t="shared" si="4"/>
        <v>0</v>
      </c>
      <c r="P16" s="23">
        <f t="shared" si="4"/>
        <v>0</v>
      </c>
    </row>
    <row r="17" spans="1:16" ht="15" x14ac:dyDescent="0.25">
      <c r="A17" s="21" t="s">
        <v>19</v>
      </c>
      <c r="B17" s="23">
        <v>0</v>
      </c>
      <c r="C17" s="23">
        <v>0</v>
      </c>
      <c r="D17" s="23">
        <f t="shared" si="1"/>
        <v>0</v>
      </c>
      <c r="E17" s="23"/>
      <c r="F17" s="23"/>
      <c r="G17" s="23"/>
      <c r="H17" s="23"/>
      <c r="I17" s="23"/>
      <c r="J17" s="23"/>
      <c r="K17" s="23">
        <f>570060+36000+366215+3175+45602</f>
        <v>1021052</v>
      </c>
      <c r="L17" s="23">
        <f>183761</f>
        <v>183761</v>
      </c>
      <c r="M17" s="23">
        <f t="shared" si="3"/>
        <v>837291</v>
      </c>
      <c r="N17" s="22">
        <f t="shared" si="4"/>
        <v>-1021052</v>
      </c>
      <c r="O17" s="22">
        <f t="shared" si="4"/>
        <v>-183761</v>
      </c>
      <c r="P17" s="23">
        <f t="shared" si="4"/>
        <v>-837291</v>
      </c>
    </row>
    <row r="18" spans="1:16" ht="15" x14ac:dyDescent="0.25">
      <c r="A18" s="24" t="s">
        <v>20</v>
      </c>
      <c r="B18" s="25">
        <f t="shared" ref="B18:J18" si="5">SUM(B5:B16)</f>
        <v>7293900</v>
      </c>
      <c r="C18" s="25">
        <f t="shared" si="5"/>
        <v>1112012.5</v>
      </c>
      <c r="D18" s="25">
        <f t="shared" si="5"/>
        <v>6181887.5</v>
      </c>
      <c r="E18" s="25">
        <f t="shared" si="5"/>
        <v>1552277.1600000001</v>
      </c>
      <c r="F18" s="25">
        <f t="shared" si="5"/>
        <v>0</v>
      </c>
      <c r="G18" s="25" t="e">
        <f t="shared" si="5"/>
        <v>#VALUE!</v>
      </c>
      <c r="H18" s="25" t="e">
        <f t="shared" si="5"/>
        <v>#VALUE!</v>
      </c>
      <c r="I18" s="25">
        <f t="shared" si="5"/>
        <v>1112012.5</v>
      </c>
      <c r="J18" s="25" t="e">
        <f t="shared" si="5"/>
        <v>#VALUE!</v>
      </c>
      <c r="K18" s="25">
        <f t="shared" ref="K18:P18" si="6">SUM(K5:K17)</f>
        <v>7126504</v>
      </c>
      <c r="L18" s="25">
        <f t="shared" si="6"/>
        <v>6971268</v>
      </c>
      <c r="M18" s="25">
        <f t="shared" si="6"/>
        <v>155236</v>
      </c>
      <c r="N18" s="25">
        <f t="shared" si="6"/>
        <v>167396</v>
      </c>
      <c r="O18" s="25">
        <f t="shared" si="6"/>
        <v>-5859255.5</v>
      </c>
      <c r="P18" s="25">
        <f t="shared" si="6"/>
        <v>6026651.5</v>
      </c>
    </row>
  </sheetData>
  <mergeCells count="7">
    <mergeCell ref="N3:P3"/>
    <mergeCell ref="A1:D1"/>
    <mergeCell ref="A3:A4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נתנאל כהן</dc:creator>
  <cp:lastModifiedBy>נתנאל כהן</cp:lastModifiedBy>
  <dcterms:created xsi:type="dcterms:W3CDTF">2022-07-27T12:50:02Z</dcterms:created>
  <dcterms:modified xsi:type="dcterms:W3CDTF">2022-07-27T12:55:48Z</dcterms:modified>
</cp:coreProperties>
</file>